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-0.0952905679999999</v>
      </c>
      <c r="G2" t="n">
        <v>0.0550434727921922</v>
      </c>
      <c r="H2" t="n">
        <v>0.0119314764403961</v>
      </c>
      <c r="I2" t="n">
        <v>0.5675250518457285</v>
      </c>
      <c r="J2" t="n">
        <v>0.0406203840472673</v>
      </c>
      <c r="K2" t="n">
        <v>0.3986680898060826</v>
      </c>
      <c r="L2" t="b">
        <v>0</v>
      </c>
      <c r="M2" t="b">
        <v>0</v>
      </c>
      <c r="N2" t="inlineStr">
        <is>
          <t>ref</t>
        </is>
      </c>
      <c r="O2" t="n">
        <v>100</v>
      </c>
      <c r="P2" t="n">
        <v>0.01247</v>
      </c>
      <c r="Q2" t="n">
        <v>-5</v>
      </c>
      <c r="R2" t="n">
        <v>0.00322</v>
      </c>
      <c r="S2">
        <f>IMAGE("https://mitra.stanford.edu/kundaje/oak/projects/neuro-variants/variant_position/credible/roussos_2024/variant_figures/roussos_2024.infant.GLU/rs11121162_count_position.png",4,220,900)</f>
        <v/>
      </c>
      <c r="T2">
        <f>IMAGE("https://mitra.stanford.edu/kundaje/oak/projects/neuro-variants/variant_position/credible/roussos_2024/variant_figures/roussos_2024.infant.GLU/rs11121162_profile_position.png",4,220,900)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0.273419756</v>
      </c>
      <c r="G3" t="n">
        <v>0.0041702750176826</v>
      </c>
      <c r="H3" t="n">
        <v>0.040349471548997</v>
      </c>
      <c r="I3" t="n">
        <v>0.0196607508037177</v>
      </c>
      <c r="J3" t="n">
        <v>0.2724475848232985</v>
      </c>
      <c r="K3" t="n">
        <v>0.07611569069277541</v>
      </c>
      <c r="L3" t="b">
        <v>1</v>
      </c>
      <c r="M3" t="b">
        <v>1</v>
      </c>
      <c r="N3" t="inlineStr">
        <is>
          <t>alt</t>
        </is>
      </c>
      <c r="O3" t="n">
        <v>60</v>
      </c>
      <c r="P3" t="n">
        <v>0.001709</v>
      </c>
      <c r="Q3" t="n">
        <v>10</v>
      </c>
      <c r="R3" t="n">
        <v>0.00928</v>
      </c>
      <c r="S3">
        <f>IMAGE("https://mitra.stanford.edu/kundaje/oak/projects/neuro-variants/variant_position/credible/roussos_2024/variant_figures/roussos_2024.infant.GLU/rs12408399_count_position.png",4,220,900)</f>
        <v/>
      </c>
      <c r="T3">
        <f>IMAGE("https://mitra.stanford.edu/kundaje/oak/projects/neuro-variants/variant_position/credible/roussos_2024/variant_figures/roussos_2024.infant.GLU/rs12408399_profile_position.png",4,220,900)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-0.216168206</v>
      </c>
      <c r="G4" t="n">
        <v>0.008047141202078599</v>
      </c>
      <c r="H4" t="n">
        <v>0.0316601423761087</v>
      </c>
      <c r="I4" t="n">
        <v>0.0480283931037431</v>
      </c>
      <c r="J4" t="n">
        <v>0.2941411847703873</v>
      </c>
      <c r="K4" t="n">
        <v>0.07045238568091459</v>
      </c>
      <c r="L4" t="b">
        <v>1</v>
      </c>
      <c r="M4" t="b">
        <v>1</v>
      </c>
      <c r="N4" t="inlineStr">
        <is>
          <t>ref</t>
        </is>
      </c>
      <c r="O4" t="n">
        <v>70</v>
      </c>
      <c r="P4" t="n">
        <v>0.05048</v>
      </c>
      <c r="Q4" t="n">
        <v>-75</v>
      </c>
      <c r="R4" t="n">
        <v>0.031</v>
      </c>
      <c r="S4">
        <f>IMAGE("https://mitra.stanford.edu/kundaje/oak/projects/neuro-variants/variant_position/credible/roussos_2024/variant_figures/roussos_2024.infant.GLU/rs11586622_count_position.png",4,220,900)</f>
        <v/>
      </c>
      <c r="T4">
        <f>IMAGE("https://mitra.stanford.edu/kundaje/oak/projects/neuro-variants/variant_position/credible/roussos_2024/variant_figures/roussos_2024.infant.GLU/rs11586622_profile_position.png",4,220,900)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0.0071160053</v>
      </c>
      <c r="G5" t="n">
        <v>0.708932144519712</v>
      </c>
      <c r="H5" t="n">
        <v>0.0311563162013821</v>
      </c>
      <c r="I5" t="n">
        <v>0.0508447215276419</v>
      </c>
      <c r="J5" t="n">
        <v>0.3292169139531294</v>
      </c>
      <c r="K5" t="n">
        <v>0.0607703205290258</v>
      </c>
      <c r="L5" t="b">
        <v>0</v>
      </c>
      <c r="M5" t="b">
        <v>0</v>
      </c>
      <c r="N5" t="inlineStr">
        <is>
          <t>alt</t>
        </is>
      </c>
      <c r="O5" t="n">
        <v>100</v>
      </c>
      <c r="P5" t="n">
        <v>0.01965</v>
      </c>
      <c r="Q5" t="n">
        <v>-90</v>
      </c>
      <c r="R5" t="n">
        <v>0.4336</v>
      </c>
      <c r="S5">
        <f>IMAGE("https://mitra.stanford.edu/kundaje/oak/projects/neuro-variants/variant_position/credible/roussos_2024/variant_figures/roussos_2024.infant.GLU/rs4908751_count_position.png",4,220,900)</f>
        <v/>
      </c>
      <c r="T5">
        <f>IMAGE("https://mitra.stanford.edu/kundaje/oak/projects/neuro-variants/variant_position/credible/roussos_2024/variant_figures/roussos_2024.infant.GLU/rs4908751_profile_position.png",4,220,900)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0.0011648084779999</v>
      </c>
      <c r="G6" t="n">
        <v>0.7158057024521034</v>
      </c>
      <c r="H6" t="n">
        <v>0.0387120628476439</v>
      </c>
      <c r="I6" t="n">
        <v>0.0234376040219149</v>
      </c>
      <c r="J6" t="n">
        <v>0.1208569412905928</v>
      </c>
      <c r="K6" t="n">
        <v>0.181097520140386</v>
      </c>
      <c r="L6" t="b">
        <v>0</v>
      </c>
      <c r="M6" t="b">
        <v>0</v>
      </c>
      <c r="N6" t="inlineStr">
        <is>
          <t>alt</t>
        </is>
      </c>
      <c r="O6" t="n">
        <v>15</v>
      </c>
      <c r="P6" t="n">
        <v>0.00354</v>
      </c>
      <c r="Q6" t="n">
        <v>65</v>
      </c>
      <c r="R6" t="n">
        <v>0.24</v>
      </c>
      <c r="S6">
        <f>IMAGE("https://mitra.stanford.edu/kundaje/oak/projects/neuro-variants/variant_position/credible/roussos_2024/variant_figures/roussos_2024.infant.GLU/rs301796_count_position.png",4,220,900)</f>
        <v/>
      </c>
      <c r="T6">
        <f>IMAGE("https://mitra.stanford.edu/kundaje/oak/projects/neuro-variants/variant_position/credible/roussos_2024/variant_figures/roussos_2024.infant.GLU/rs301796_profile_position.png",4,220,900)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0.0455719478</v>
      </c>
      <c r="G7" t="n">
        <v>0.1886544815676814</v>
      </c>
      <c r="H7" t="n">
        <v>0.0114330919729639</v>
      </c>
      <c r="I7" t="n">
        <v>0.609971662059805</v>
      </c>
      <c r="J7" t="n">
        <v>0.5688463149540334</v>
      </c>
      <c r="K7" t="n">
        <v>0.0238281332092811</v>
      </c>
      <c r="L7" t="b">
        <v>0</v>
      </c>
      <c r="M7" t="b">
        <v>0</v>
      </c>
      <c r="N7" t="inlineStr">
        <is>
          <t>alt</t>
        </is>
      </c>
      <c r="O7" t="n">
        <v>-100</v>
      </c>
      <c r="P7" t="n">
        <v>0.04282</v>
      </c>
      <c r="Q7" t="n">
        <v>-100</v>
      </c>
      <c r="R7" t="n">
        <v>0.3413</v>
      </c>
      <c r="S7">
        <f>IMAGE("https://mitra.stanford.edu/kundaje/oak/projects/neuro-variants/variant_position/credible/roussos_2024/variant_figures/roussos_2024.infant.GLU/rs301789_count_position.png",4,220,900)</f>
        <v/>
      </c>
      <c r="T7">
        <f>IMAGE("https://mitra.stanford.edu/kundaje/oak/projects/neuro-variants/variant_position/credible/roussos_2024/variant_figures/roussos_2024.infant.GLU/rs301789_profile_position.png",4,220,900)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-0.0463887132</v>
      </c>
      <c r="G8" t="n">
        <v>0.2102302748734198</v>
      </c>
      <c r="H8" t="n">
        <v>0.0191924175833861</v>
      </c>
      <c r="I8" t="n">
        <v>0.205885391342773</v>
      </c>
      <c r="J8" t="n">
        <v>0.0183072819065675</v>
      </c>
      <c r="K8" t="n">
        <v>0.5544551991885935</v>
      </c>
      <c r="L8" t="b">
        <v>0</v>
      </c>
      <c r="M8" t="b">
        <v>0</v>
      </c>
      <c r="N8" t="inlineStr">
        <is>
          <t>ref</t>
        </is>
      </c>
      <c r="O8" t="n">
        <v>25</v>
      </c>
      <c r="P8" t="n">
        <v>0.004272</v>
      </c>
      <c r="Q8" t="n">
        <v>-55</v>
      </c>
      <c r="R8" t="n">
        <v>0.0315</v>
      </c>
      <c r="S8">
        <f>IMAGE("https://mitra.stanford.edu/kundaje/oak/projects/neuro-variants/variant_position/credible/roussos_2024/variant_figures/roussos_2024.infant.GLU/rs1763838_count_position.png",4,220,900)</f>
        <v/>
      </c>
      <c r="T8">
        <f>IMAGE("https://mitra.stanford.edu/kundaje/oak/projects/neuro-variants/variant_position/credible/roussos_2024/variant_figures/roussos_2024.infant.GLU/rs1763838_profile_position.png",4,220,900)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-0.0560345506</v>
      </c>
      <c r="G9" t="n">
        <v>0.1429318644880804</v>
      </c>
      <c r="H9" t="n">
        <v>0.0469056813339401</v>
      </c>
      <c r="I9" t="n">
        <v>0.0101986383484227</v>
      </c>
      <c r="J9" t="n">
        <v>0.0376077514936395</v>
      </c>
      <c r="K9" t="n">
        <v>0.4106724406189271</v>
      </c>
      <c r="L9" t="b">
        <v>1</v>
      </c>
      <c r="M9" t="b">
        <v>0</v>
      </c>
      <c r="N9" t="inlineStr">
        <is>
          <t>ref</t>
        </is>
      </c>
      <c r="O9" t="n">
        <v>90</v>
      </c>
      <c r="P9" t="n">
        <v>0.014404</v>
      </c>
      <c r="Q9" t="n">
        <v>15</v>
      </c>
      <c r="R9" t="n">
        <v>0.01843</v>
      </c>
      <c r="S9">
        <f>IMAGE("https://mitra.stanford.edu/kundaje/oak/projects/neuro-variants/variant_position/credible/roussos_2024/variant_figures/roussos_2024.infant.GLU/rs302719_count_position.png",4,220,900)</f>
        <v/>
      </c>
      <c r="T9">
        <f>IMAGE("https://mitra.stanford.edu/kundaje/oak/projects/neuro-variants/variant_position/credible/roussos_2024/variant_figures/roussos_2024.infant.GLU/rs302719_profile_position.png",4,220,900)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-0.0321198592</v>
      </c>
      <c r="G10" t="n">
        <v>0.3016827756012484</v>
      </c>
      <c r="H10" t="n">
        <v>0.0166927179997754</v>
      </c>
      <c r="I10" t="n">
        <v>0.2849984890032616</v>
      </c>
      <c r="J10" t="n">
        <v>0.010896404241716</v>
      </c>
      <c r="K10" t="n">
        <v>0.6639743138158882</v>
      </c>
      <c r="L10" t="b">
        <v>0</v>
      </c>
      <c r="M10" t="b">
        <v>0</v>
      </c>
      <c r="N10" t="inlineStr">
        <is>
          <t>ref</t>
        </is>
      </c>
      <c r="O10" t="n">
        <v>85</v>
      </c>
      <c r="P10" t="n">
        <v>0.02263</v>
      </c>
      <c r="Q10" t="n">
        <v>55</v>
      </c>
      <c r="R10" t="n">
        <v>0.05573</v>
      </c>
      <c r="S10">
        <f>IMAGE("https://mitra.stanford.edu/kundaje/oak/projects/neuro-variants/variant_position/credible/roussos_2024/variant_figures/roussos_2024.infant.GLU/rs172531_count_position.png",4,220,900)</f>
        <v/>
      </c>
      <c r="T10">
        <f>IMAGE("https://mitra.stanford.edu/kundaje/oak/projects/neuro-variants/variant_position/credible/roussos_2024/variant_figures/roussos_2024.infant.GLU/rs172531_profile_position.png",4,220,900)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0.0415320183999999</v>
      </c>
      <c r="G11" t="n">
        <v>0.2239394772801681</v>
      </c>
      <c r="H11" t="n">
        <v>0.0132580179375792</v>
      </c>
      <c r="I11" t="n">
        <v>0.4640867181994559</v>
      </c>
      <c r="J11" t="n">
        <v>0.0415827068497982</v>
      </c>
      <c r="K11" t="n">
        <v>0.3861024218312178</v>
      </c>
      <c r="L11" t="b">
        <v>0</v>
      </c>
      <c r="M11" t="b">
        <v>0</v>
      </c>
      <c r="N11" t="inlineStr">
        <is>
          <t>alt</t>
        </is>
      </c>
      <c r="O11" t="n">
        <v>-70</v>
      </c>
      <c r="P11" t="n">
        <v>0.004333</v>
      </c>
      <c r="Q11" t="n">
        <v>-80</v>
      </c>
      <c r="R11" t="n">
        <v>0.02637</v>
      </c>
      <c r="S11">
        <f>IMAGE("https://mitra.stanford.edu/kundaje/oak/projects/neuro-variants/variant_position/credible/roussos_2024/variant_figures/roussos_2024.infant.GLU/rs301818_count_position.png",4,220,900)</f>
        <v/>
      </c>
      <c r="T11">
        <f>IMAGE("https://mitra.stanford.edu/kundaje/oak/projects/neuro-variants/variant_position/credible/roussos_2024/variant_figures/roussos_2024.infant.GLU/rs301818_profile_position.png",4,220,900)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0.0119251665999999</v>
      </c>
      <c r="G12" t="n">
        <v>0.3125508034436701</v>
      </c>
      <c r="H12" t="n">
        <v>0.0826287669489192</v>
      </c>
      <c r="I12" t="n">
        <v>0.0005482368295572</v>
      </c>
      <c r="J12" t="n">
        <v>0.0770133821292356</v>
      </c>
      <c r="K12" t="n">
        <v>0.2524106010569537</v>
      </c>
      <c r="L12" t="b">
        <v>1</v>
      </c>
      <c r="M12" t="b">
        <v>1</v>
      </c>
      <c r="N12" t="inlineStr">
        <is>
          <t>alt</t>
        </is>
      </c>
      <c r="O12" t="n">
        <v>-20</v>
      </c>
      <c r="P12" t="n">
        <v>0.00537</v>
      </c>
      <c r="Q12" t="n">
        <v>-10</v>
      </c>
      <c r="R12" t="n">
        <v>0.05237</v>
      </c>
      <c r="S12">
        <f>IMAGE("https://mitra.stanford.edu/kundaje/oak/projects/neuro-variants/variant_position/credible/roussos_2024/variant_figures/roussos_2024.infant.GLU/rs7368197_count_position.png",4,220,900)</f>
        <v/>
      </c>
      <c r="T12">
        <f>IMAGE("https://mitra.stanford.edu/kundaje/oak/projects/neuro-variants/variant_position/credible/roussos_2024/variant_figures/roussos_2024.infant.GLU/rs7368197_profile_position.png",4,220,900)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-0.188566414</v>
      </c>
      <c r="G13" t="n">
        <v>0.0118906213651325</v>
      </c>
      <c r="H13" t="n">
        <v>0.0495681419717787</v>
      </c>
      <c r="I13" t="n">
        <v>0.0081001278808614</v>
      </c>
      <c r="J13" t="n">
        <v>0.1273771467624947</v>
      </c>
      <c r="K13" t="n">
        <v>0.1698672060213853</v>
      </c>
      <c r="L13" t="b">
        <v>1</v>
      </c>
      <c r="M13" t="b">
        <v>1</v>
      </c>
      <c r="N13" t="inlineStr">
        <is>
          <t>ref</t>
        </is>
      </c>
      <c r="O13" t="n">
        <v>-100</v>
      </c>
      <c r="P13" t="n">
        <v>0.002634</v>
      </c>
      <c r="Q13" t="n">
        <v>90</v>
      </c>
      <c r="R13" t="n">
        <v>0.2651</v>
      </c>
      <c r="S13">
        <f>IMAGE("https://mitra.stanford.edu/kundaje/oak/projects/neuro-variants/variant_position/credible/roussos_2024/variant_figures/roussos_2024.infant.GLU/rs61786043_count_position.png",4,220,900)</f>
        <v/>
      </c>
      <c r="T13">
        <f>IMAGE("https://mitra.stanford.edu/kundaje/oak/projects/neuro-variants/variant_position/credible/roussos_2024/variant_figures/roussos_2024.infant.GLU/rs61786043_profile_position.png",4,220,900)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-0.0642347798</v>
      </c>
      <c r="G14" t="n">
        <v>0.1184078048316259</v>
      </c>
      <c r="H14" t="n">
        <v>0.011601651468234</v>
      </c>
      <c r="I14" t="n">
        <v>0.5929478638294802</v>
      </c>
      <c r="J14" t="n">
        <v>0.0095537820498687</v>
      </c>
      <c r="K14" t="n">
        <v>0.6711069471696507</v>
      </c>
      <c r="L14" t="b">
        <v>0</v>
      </c>
      <c r="M14" t="b">
        <v>0</v>
      </c>
      <c r="N14" t="inlineStr">
        <is>
          <t>ref</t>
        </is>
      </c>
      <c r="O14" t="n">
        <v>85</v>
      </c>
      <c r="P14" t="n">
        <v>0.05252</v>
      </c>
      <c r="Q14" t="n">
        <v>80</v>
      </c>
      <c r="R14" t="n">
        <v>0.1052</v>
      </c>
      <c r="S14">
        <f>IMAGE("https://mitra.stanford.edu/kundaje/oak/projects/neuro-variants/variant_position/credible/roussos_2024/variant_figures/roussos_2024.infant.GLU/rs61787564_count_position.png",4,220,900)</f>
        <v/>
      </c>
      <c r="T14">
        <f>IMAGE("https://mitra.stanford.edu/kundaje/oak/projects/neuro-variants/variant_position/credible/roussos_2024/variant_figures/roussos_2024.infant.GLU/rs61787564_profile_position.png",4,220,900)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-0.0330175264</v>
      </c>
      <c r="G15" t="n">
        <v>0.2911136881704695</v>
      </c>
      <c r="H15" t="n">
        <v>0.0680367128496823</v>
      </c>
      <c r="I15" t="n">
        <v>0.0016092710742637</v>
      </c>
      <c r="J15" t="n">
        <v>0.0375416124694106</v>
      </c>
      <c r="K15" t="n">
        <v>0.4032044823377454</v>
      </c>
      <c r="L15" t="b">
        <v>1</v>
      </c>
      <c r="M15" t="b">
        <v>0</v>
      </c>
      <c r="N15" t="inlineStr">
        <is>
          <t>ref</t>
        </is>
      </c>
      <c r="O15" t="n">
        <v>10</v>
      </c>
      <c r="P15" t="n">
        <v>0.003174</v>
      </c>
      <c r="Q15" t="n">
        <v>-100</v>
      </c>
      <c r="R15" t="n">
        <v>0.136</v>
      </c>
      <c r="S15">
        <f>IMAGE("https://mitra.stanford.edu/kundaje/oak/projects/neuro-variants/variant_position/credible/roussos_2024/variant_figures/roussos_2024.infant.GLU/rs61787565_count_position.png",4,220,900)</f>
        <v/>
      </c>
      <c r="T15">
        <f>IMAGE("https://mitra.stanford.edu/kundaje/oak/projects/neuro-variants/variant_position/credible/roussos_2024/variant_figures/roussos_2024.infant.GLU/rs61787565_profile_position.png",4,220,900)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-0.0339497993999999</v>
      </c>
      <c r="G16" t="n">
        <v>0.2830254530913118</v>
      </c>
      <c r="H16" t="n">
        <v>0.0691843470779476</v>
      </c>
      <c r="I16" t="n">
        <v>0.0014697873137958</v>
      </c>
      <c r="J16" t="n">
        <v>0.0150907206949006</v>
      </c>
      <c r="K16" t="n">
        <v>0.5871552903452288</v>
      </c>
      <c r="L16" t="b">
        <v>1</v>
      </c>
      <c r="M16" t="b">
        <v>0</v>
      </c>
      <c r="N16" t="inlineStr">
        <is>
          <t>ref</t>
        </is>
      </c>
      <c r="O16" t="n">
        <v>-15</v>
      </c>
      <c r="P16" t="n">
        <v>0.00177</v>
      </c>
      <c r="Q16" t="n">
        <v>65</v>
      </c>
      <c r="R16" t="n">
        <v>0.01538</v>
      </c>
      <c r="S16">
        <f>IMAGE("https://mitra.stanford.edu/kundaje/oak/projects/neuro-variants/variant_position/credible/roussos_2024/variant_figures/roussos_2024.infant.GLU/rs113507743_count_position.png",4,220,900)</f>
        <v/>
      </c>
      <c r="T16">
        <f>IMAGE("https://mitra.stanford.edu/kundaje/oak/projects/neuro-variants/variant_position/credible/roussos_2024/variant_figures/roussos_2024.infant.GLU/rs113507743_profile_position.png",4,220,900)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0.0081354130999999</v>
      </c>
      <c r="G17" t="n">
        <v>0.6605821015477596</v>
      </c>
      <c r="H17" t="n">
        <v>0.0114639225010823</v>
      </c>
      <c r="I17" t="n">
        <v>0.6057122669852787</v>
      </c>
      <c r="J17" t="n">
        <v>0.0416069578253488</v>
      </c>
      <c r="K17" t="n">
        <v>0.3833308640666424</v>
      </c>
      <c r="L17" t="b">
        <v>0</v>
      </c>
      <c r="M17" t="b">
        <v>0</v>
      </c>
      <c r="N17" t="inlineStr">
        <is>
          <t>alt</t>
        </is>
      </c>
      <c r="O17" t="n">
        <v>-40</v>
      </c>
      <c r="P17" t="n">
        <v>0.000847</v>
      </c>
      <c r="Q17" t="n">
        <v>95</v>
      </c>
      <c r="R17" t="n">
        <v>0.2769</v>
      </c>
      <c r="S17">
        <f>IMAGE("https://mitra.stanford.edu/kundaje/oak/projects/neuro-variants/variant_position/credible/roussos_2024/variant_figures/roussos_2024.infant.GLU/rs61787581_count_position.png",4,220,900)</f>
        <v/>
      </c>
      <c r="T17">
        <f>IMAGE("https://mitra.stanford.edu/kundaje/oak/projects/neuro-variants/variant_position/credible/roussos_2024/variant_figures/roussos_2024.infant.GLU/rs61787581_profile_position.png",4,220,900)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0.003464918252</v>
      </c>
      <c r="G18" t="n">
        <v>0.8397666321663687</v>
      </c>
      <c r="H18" t="n">
        <v>0.0208303034087162</v>
      </c>
      <c r="I18" t="n">
        <v>0.1665486212829861</v>
      </c>
      <c r="J18" t="n">
        <v>0.0129830904561387</v>
      </c>
      <c r="K18" t="n">
        <v>0.612953276924905</v>
      </c>
      <c r="L18" t="b">
        <v>0</v>
      </c>
      <c r="M18" t="b">
        <v>0</v>
      </c>
      <c r="N18" t="inlineStr">
        <is>
          <t>alt</t>
        </is>
      </c>
      <c r="O18" t="n">
        <v>90</v>
      </c>
      <c r="P18" t="n">
        <v>0.004547</v>
      </c>
      <c r="Q18" t="n">
        <v>-100</v>
      </c>
      <c r="R18" t="n">
        <v>0.09569999999999999</v>
      </c>
      <c r="S18">
        <f>IMAGE("https://mitra.stanford.edu/kundaje/oak/projects/neuro-variants/variant_position/credible/roussos_2024/variant_figures/roussos_2024.infant.GLU/rs569356_count_position.png",4,220,900)</f>
        <v/>
      </c>
      <c r="T18">
        <f>IMAGE("https://mitra.stanford.edu/kundaje/oak/projects/neuro-variants/variant_position/credible/roussos_2024/variant_figures/roussos_2024.infant.GLU/rs569356_profile_position.png",4,220,900)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-0.0260315085999999</v>
      </c>
      <c r="G19" t="n">
        <v>0.3689253808118601</v>
      </c>
      <c r="H19" t="n">
        <v>0.0122400586069085</v>
      </c>
      <c r="I19" t="n">
        <v>0.5417013306118474</v>
      </c>
      <c r="J19" t="n">
        <v>0.3056736259617716</v>
      </c>
      <c r="K19" t="n">
        <v>0.06721358808739331</v>
      </c>
      <c r="L19" t="b">
        <v>0</v>
      </c>
      <c r="M19" t="b">
        <v>0</v>
      </c>
      <c r="N19" t="inlineStr">
        <is>
          <t>ref</t>
        </is>
      </c>
      <c r="O19" t="n">
        <v>80</v>
      </c>
      <c r="P19" t="n">
        <v>0.01005</v>
      </c>
      <c r="Q19" t="n">
        <v>45</v>
      </c>
      <c r="R19" t="n">
        <v>0.042</v>
      </c>
      <c r="S19">
        <f>IMAGE("https://mitra.stanford.edu/kundaje/oak/projects/neuro-variants/variant_position/credible/roussos_2024/variant_figures/roussos_2024.infant.GLU/rs533123_count_position.png",4,220,900)</f>
        <v/>
      </c>
      <c r="T19">
        <f>IMAGE("https://mitra.stanford.edu/kundaje/oak/projects/neuro-variants/variant_position/credible/roussos_2024/variant_figures/roussos_2024.infant.GLU/rs533123_profile_position.png",4,220,900)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0.0614763214</v>
      </c>
      <c r="G20" t="n">
        <v>0.1212842235099075</v>
      </c>
      <c r="H20" t="n">
        <v>0.0135457513097901</v>
      </c>
      <c r="I20" t="n">
        <v>0.4469111090352302</v>
      </c>
      <c r="J20" t="n">
        <v>0.1938270244052999</v>
      </c>
      <c r="K20" t="n">
        <v>0.1124504009820855</v>
      </c>
      <c r="L20" t="b">
        <v>0</v>
      </c>
      <c r="M20" t="b">
        <v>0</v>
      </c>
      <c r="N20" t="inlineStr">
        <is>
          <t>alt</t>
        </is>
      </c>
      <c r="O20" t="n">
        <v>100</v>
      </c>
      <c r="P20" t="n">
        <v>0.02423</v>
      </c>
      <c r="Q20" t="n">
        <v>-100</v>
      </c>
      <c r="R20" t="n">
        <v>0.0852</v>
      </c>
      <c r="S20">
        <f>IMAGE("https://mitra.stanford.edu/kundaje/oak/projects/neuro-variants/variant_position/credible/roussos_2024/variant_figures/roussos_2024.infant.GLU/rs369247_count_position.png",4,220,900)</f>
        <v/>
      </c>
      <c r="T20">
        <f>IMAGE("https://mitra.stanford.edu/kundaje/oak/projects/neuro-variants/variant_position/credible/roussos_2024/variant_figures/roussos_2024.infant.GLU/rs369247_profile_position.png",4,220,900)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0.0220015212</v>
      </c>
      <c r="G21" t="n">
        <v>0.4144882594294729</v>
      </c>
      <c r="H21" t="n">
        <v>0.0313083763072412</v>
      </c>
      <c r="I21" t="n">
        <v>0.0500940757388453</v>
      </c>
      <c r="J21" t="n">
        <v>0.1691329173923587</v>
      </c>
      <c r="K21" t="n">
        <v>0.1372308111285727</v>
      </c>
      <c r="L21" t="b">
        <v>0</v>
      </c>
      <c r="M21" t="b">
        <v>0</v>
      </c>
      <c r="N21" t="inlineStr">
        <is>
          <t>alt</t>
        </is>
      </c>
      <c r="O21" t="n">
        <v>85</v>
      </c>
      <c r="P21" t="n">
        <v>0.01184</v>
      </c>
      <c r="Q21" t="n">
        <v>100</v>
      </c>
      <c r="R21" t="n">
        <v>0.12354</v>
      </c>
      <c r="S21">
        <f>IMAGE("https://mitra.stanford.edu/kundaje/oak/projects/neuro-variants/variant_position/credible/roussos_2024/variant_figures/roussos_2024.infant.GLU/rs4654375_count_position.png",4,220,900)</f>
        <v/>
      </c>
      <c r="T21">
        <f>IMAGE("https://mitra.stanford.edu/kundaje/oak/projects/neuro-variants/variant_position/credible/roussos_2024/variant_figures/roussos_2024.infant.GLU/rs4654375_profile_position.png",4,220,900)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0.0477466788</v>
      </c>
      <c r="G22" t="n">
        <v>0.1766636335242212</v>
      </c>
      <c r="H22" t="n">
        <v>0.0116855958290968</v>
      </c>
      <c r="I22" t="n">
        <v>0.5876657356032909</v>
      </c>
      <c r="J22" t="n">
        <v>0.0359664013756916</v>
      </c>
      <c r="K22" t="n">
        <v>0.4166119980793877</v>
      </c>
      <c r="L22" t="b">
        <v>0</v>
      </c>
      <c r="M22" t="b">
        <v>0</v>
      </c>
      <c r="N22" t="inlineStr">
        <is>
          <t>alt</t>
        </is>
      </c>
      <c r="O22" t="n">
        <v>-10</v>
      </c>
      <c r="P22" t="n">
        <v>0.003223</v>
      </c>
      <c r="Q22" t="n">
        <v>-70</v>
      </c>
      <c r="R22" t="n">
        <v>0.0357</v>
      </c>
      <c r="S22">
        <f>IMAGE("https://mitra.stanford.edu/kundaje/oak/projects/neuro-variants/variant_position/credible/roussos_2024/variant_figures/roussos_2024.infant.GLU/rs2236859_count_position.png",4,220,900)</f>
        <v/>
      </c>
      <c r="T22">
        <f>IMAGE("https://mitra.stanford.edu/kundaje/oak/projects/neuro-variants/variant_position/credible/roussos_2024/variant_figures/roussos_2024.infant.GLU/rs2236859_profile_position.png",4,220,900)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-0.0981915374</v>
      </c>
      <c r="G23" t="n">
        <v>0.0669502562484096</v>
      </c>
      <c r="H23" t="n">
        <v>0.0253671771692094</v>
      </c>
      <c r="I23" t="n">
        <v>0.0975700577003334</v>
      </c>
      <c r="J23" t="n">
        <v>0.0631936330166008</v>
      </c>
      <c r="K23" t="n">
        <v>0.2913391793015996</v>
      </c>
      <c r="L23" t="b">
        <v>0</v>
      </c>
      <c r="M23" t="b">
        <v>0</v>
      </c>
      <c r="N23" t="inlineStr">
        <is>
          <t>ref</t>
        </is>
      </c>
      <c r="O23" t="n">
        <v>80</v>
      </c>
      <c r="P23" t="n">
        <v>0.00482</v>
      </c>
      <c r="Q23" t="n">
        <v>75</v>
      </c>
      <c r="R23" t="n">
        <v>0.04297</v>
      </c>
      <c r="S23">
        <f>IMAGE("https://mitra.stanford.edu/kundaje/oak/projects/neuro-variants/variant_position/credible/roussos_2024/variant_figures/roussos_2024.infant.GLU/rs2236855_count_position.png",4,220,900)</f>
        <v/>
      </c>
      <c r="T23">
        <f>IMAGE("https://mitra.stanford.edu/kundaje/oak/projects/neuro-variants/variant_position/credible/roussos_2024/variant_figures/roussos_2024.infant.GLU/rs2236855_profile_position.png",4,220,900)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0.090805895</v>
      </c>
      <c r="G24" t="n">
        <v>0.0707360554040662</v>
      </c>
      <c r="H24" t="n">
        <v>0.014222214759603</v>
      </c>
      <c r="I24" t="n">
        <v>0.4153323143759939</v>
      </c>
      <c r="J24" t="n">
        <v>0.1850128971097246</v>
      </c>
      <c r="K24" t="n">
        <v>0.1188386405026089</v>
      </c>
      <c r="L24" t="b">
        <v>0</v>
      </c>
      <c r="M24" t="b">
        <v>0</v>
      </c>
      <c r="N24" t="inlineStr">
        <is>
          <t>alt</t>
        </is>
      </c>
      <c r="O24" t="n">
        <v>-70</v>
      </c>
      <c r="P24" t="n">
        <v>0.00391</v>
      </c>
      <c r="Q24" t="n">
        <v>10</v>
      </c>
      <c r="R24" t="n">
        <v>0.01172</v>
      </c>
      <c r="S24">
        <f>IMAGE("https://mitra.stanford.edu/kundaje/oak/projects/neuro-variants/variant_position/credible/roussos_2024/variant_figures/roussos_2024.infant.GLU/rs760588_count_position.png",4,220,900)</f>
        <v/>
      </c>
      <c r="T24">
        <f>IMAGE("https://mitra.stanford.edu/kundaje/oak/projects/neuro-variants/variant_position/credible/roussos_2024/variant_figures/roussos_2024.infant.GLU/rs760588_profile_position.png",4,220,900)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-0.0545075838</v>
      </c>
      <c r="G25" t="n">
        <v>0.1502460607889894</v>
      </c>
      <c r="H25" t="n">
        <v>0.0134438307078179</v>
      </c>
      <c r="I25" t="n">
        <v>0.4528768600719445</v>
      </c>
      <c r="J25" t="n">
        <v>0.0419222205075067</v>
      </c>
      <c r="K25" t="n">
        <v>0.3957301599471431</v>
      </c>
      <c r="L25" t="b">
        <v>0</v>
      </c>
      <c r="M25" t="b">
        <v>0</v>
      </c>
      <c r="N25" t="inlineStr">
        <is>
          <t>ref</t>
        </is>
      </c>
      <c r="O25" t="n">
        <v>100</v>
      </c>
      <c r="P25" t="n">
        <v>0.2064</v>
      </c>
      <c r="Q25" t="n">
        <v>-100</v>
      </c>
      <c r="R25" t="n">
        <v>0.1344</v>
      </c>
      <c r="S25">
        <f>IMAGE("https://mitra.stanford.edu/kundaje/oak/projects/neuro-variants/variant_position/credible/roussos_2024/variant_figures/roussos_2024.infant.GLU/rs4233254_count_position.png",4,220,900)</f>
        <v/>
      </c>
      <c r="T25">
        <f>IMAGE("https://mitra.stanford.edu/kundaje/oak/projects/neuro-variants/variant_position/credible/roussos_2024/variant_figures/roussos_2024.infant.GLU/rs4233254_profile_position.png",4,220,900)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0.0810566962</v>
      </c>
      <c r="G26" t="n">
        <v>0.0741083681687289</v>
      </c>
      <c r="H26" t="n">
        <v>0.0478604124128643</v>
      </c>
      <c r="I26" t="n">
        <v>0.0092673523168499</v>
      </c>
      <c r="J26" t="n">
        <v>0.0112535549725522</v>
      </c>
      <c r="K26" t="n">
        <v>0.6660177751957501</v>
      </c>
      <c r="L26" t="b">
        <v>1</v>
      </c>
      <c r="M26" t="b">
        <v>0</v>
      </c>
      <c r="N26" t="inlineStr">
        <is>
          <t>alt</t>
        </is>
      </c>
      <c r="O26" t="n">
        <v>100</v>
      </c>
      <c r="P26" t="n">
        <v>0.02838</v>
      </c>
      <c r="Q26" t="n">
        <v>100</v>
      </c>
      <c r="R26" t="n">
        <v>0.292</v>
      </c>
      <c r="S26">
        <f>IMAGE("https://mitra.stanford.edu/kundaje/oak/projects/neuro-variants/variant_position/credible/roussos_2024/variant_figures/roussos_2024.infant.GLU/rs150082_count_position.png",4,220,900)</f>
        <v/>
      </c>
      <c r="T26">
        <f>IMAGE("https://mitra.stanford.edu/kundaje/oak/projects/neuro-variants/variant_position/credible/roussos_2024/variant_figures/roussos_2024.infant.GLU/rs150082_profile_position.png",4,220,900)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-0.118253347</v>
      </c>
      <c r="G27" t="n">
        <v>0.0366843060618744</v>
      </c>
      <c r="H27" t="n">
        <v>0.0161570455343685</v>
      </c>
      <c r="I27" t="n">
        <v>0.3090432666758668</v>
      </c>
      <c r="J27" t="n">
        <v>0.2241186975021494</v>
      </c>
      <c r="K27" t="n">
        <v>0.0963370001509468</v>
      </c>
      <c r="L27" t="b">
        <v>0</v>
      </c>
      <c r="M27" t="b">
        <v>0</v>
      </c>
      <c r="N27" t="inlineStr">
        <is>
          <t>ref</t>
        </is>
      </c>
      <c r="O27" t="n">
        <v>100</v>
      </c>
      <c r="P27" t="n">
        <v>0.05804</v>
      </c>
      <c r="Q27" t="n">
        <v>100</v>
      </c>
      <c r="R27" t="n">
        <v>0.06934</v>
      </c>
      <c r="S27">
        <f>IMAGE("https://mitra.stanford.edu/kundaje/oak/projects/neuro-variants/variant_position/credible/roussos_2024/variant_figures/roussos_2024.infant.GLU/rs3102739_count_position.png",4,220,900)</f>
        <v/>
      </c>
      <c r="T27">
        <f>IMAGE("https://mitra.stanford.edu/kundaje/oak/projects/neuro-variants/variant_position/credible/roussos_2024/variant_figures/roussos_2024.infant.GLU/rs3102739_profile_position.png",4,220,900)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0.0063074126999999</v>
      </c>
      <c r="G28" t="n">
        <v>0.5337049884313216</v>
      </c>
      <c r="H28" t="n">
        <v>0.0154179816316061</v>
      </c>
      <c r="I28" t="n">
        <v>0.3482368983616557</v>
      </c>
      <c r="J28" t="n">
        <v>0.2037379571860049</v>
      </c>
      <c r="K28" t="n">
        <v>0.1098253748060262</v>
      </c>
      <c r="L28" t="b">
        <v>0</v>
      </c>
      <c r="M28" t="b">
        <v>0</v>
      </c>
      <c r="N28" t="inlineStr">
        <is>
          <t>alt</t>
        </is>
      </c>
      <c r="O28" t="n">
        <v>-50</v>
      </c>
      <c r="P28" t="n">
        <v>0.008965000000000001</v>
      </c>
      <c r="Q28" t="n">
        <v>95</v>
      </c>
      <c r="R28" t="n">
        <v>0.2375</v>
      </c>
      <c r="S28">
        <f>IMAGE("https://mitra.stanford.edu/kundaje/oak/projects/neuro-variants/variant_position/credible/roussos_2024/variant_figures/roussos_2024.infant.GLU/rs2985339_count_position.png",4,220,900)</f>
        <v/>
      </c>
      <c r="T28">
        <f>IMAGE("https://mitra.stanford.edu/kundaje/oak/projects/neuro-variants/variant_position/credible/roussos_2024/variant_figures/roussos_2024.infant.GLU/rs2985339_profile_position.png",4,220,900)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0.0346469672</v>
      </c>
      <c r="G29" t="n">
        <v>0.265889758342302</v>
      </c>
      <c r="H29" t="n">
        <v>0.0547999332929948</v>
      </c>
      <c r="I29" t="n">
        <v>0.0049080859477001</v>
      </c>
      <c r="J29" t="n">
        <v>0.009699287903172401</v>
      </c>
      <c r="K29" t="n">
        <v>0.662303155788276</v>
      </c>
      <c r="L29" t="b">
        <v>0</v>
      </c>
      <c r="M29" t="b">
        <v>0</v>
      </c>
      <c r="N29" t="inlineStr">
        <is>
          <t>alt</t>
        </is>
      </c>
      <c r="O29" t="n">
        <v>90</v>
      </c>
      <c r="P29" t="n">
        <v>0.01587</v>
      </c>
      <c r="Q29" t="n">
        <v>100</v>
      </c>
      <c r="R29" t="n">
        <v>0.09827</v>
      </c>
      <c r="S29">
        <f>IMAGE("https://mitra.stanford.edu/kundaje/oak/projects/neuro-variants/variant_position/credible/roussos_2024/variant_figures/roussos_2024.infant.GLU/rs7513398_count_position.png",4,220,900)</f>
        <v/>
      </c>
      <c r="T29">
        <f>IMAGE("https://mitra.stanford.edu/kundaje/oak/projects/neuro-variants/variant_position/credible/roussos_2024/variant_figures/roussos_2024.infant.GLU/rs7513398_profile_position.png",4,220,900)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0.19375355</v>
      </c>
      <c r="G30" t="n">
        <v>0.0115329549320403</v>
      </c>
      <c r="H30" t="n">
        <v>0.0421835964084675</v>
      </c>
      <c r="I30" t="n">
        <v>0.0163115540321689</v>
      </c>
      <c r="J30" t="n">
        <v>0.024206882867788</v>
      </c>
      <c r="K30" t="n">
        <v>0.4989300994514967</v>
      </c>
      <c r="L30" t="b">
        <v>1</v>
      </c>
      <c r="M30" t="b">
        <v>0</v>
      </c>
      <c r="N30" t="inlineStr">
        <is>
          <t>alt</t>
        </is>
      </c>
      <c r="O30" t="n">
        <v>-15</v>
      </c>
      <c r="P30" t="n">
        <v>0.000992</v>
      </c>
      <c r="Q30" t="n">
        <v>-25</v>
      </c>
      <c r="R30" t="n">
        <v>0.01288</v>
      </c>
      <c r="S30">
        <f>IMAGE("https://mitra.stanford.edu/kundaje/oak/projects/neuro-variants/variant_position/credible/roussos_2024/variant_figures/roussos_2024.infant.GLU/rs2486201_count_position.png",4,220,900)</f>
        <v/>
      </c>
      <c r="T30">
        <f>IMAGE("https://mitra.stanford.edu/kundaje/oak/projects/neuro-variants/variant_position/credible/roussos_2024/variant_figures/roussos_2024.infant.GLU/rs2486201_profile_position.png",4,220,900)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-0.08095092399999999</v>
      </c>
      <c r="G31" t="n">
        <v>0.0829041105167093</v>
      </c>
      <c r="H31" t="n">
        <v>0.0131200602235992</v>
      </c>
      <c r="I31" t="n">
        <v>0.4725297081538644</v>
      </c>
      <c r="J31" t="n">
        <v>0.4337705857712912</v>
      </c>
      <c r="K31" t="n">
        <v>0.0397623888188771</v>
      </c>
      <c r="L31" t="b">
        <v>0</v>
      </c>
      <c r="M31" t="b">
        <v>0</v>
      </c>
      <c r="N31" t="inlineStr">
        <is>
          <t>ref</t>
        </is>
      </c>
      <c r="O31" t="n">
        <v>100</v>
      </c>
      <c r="P31" t="n">
        <v>0.010826</v>
      </c>
      <c r="Q31" t="n">
        <v>-20</v>
      </c>
      <c r="R31" t="n">
        <v>0.0376</v>
      </c>
      <c r="S31">
        <f>IMAGE("https://mitra.stanford.edu/kundaje/oak/projects/neuro-variants/variant_position/credible/roussos_2024/variant_figures/roussos_2024.infant.GLU/rs10914662_count_position.png",4,220,900)</f>
        <v/>
      </c>
      <c r="T31">
        <f>IMAGE("https://mitra.stanford.edu/kundaje/oak/projects/neuro-variants/variant_position/credible/roussos_2024/variant_figures/roussos_2024.infant.GLU/rs10914662_profile_position.png",4,220,900)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-0.0383627476</v>
      </c>
      <c r="G32" t="n">
        <v>0.2477907204504187</v>
      </c>
      <c r="H32" t="n">
        <v>0.0367063194210145</v>
      </c>
      <c r="I32" t="n">
        <v>0.0283872816551005</v>
      </c>
      <c r="J32" t="n">
        <v>0.6292025838312132</v>
      </c>
      <c r="K32" t="n">
        <v>0.0188377313572259</v>
      </c>
      <c r="L32" t="b">
        <v>0</v>
      </c>
      <c r="M32" t="b">
        <v>0</v>
      </c>
      <c r="N32" t="inlineStr">
        <is>
          <t>ref</t>
        </is>
      </c>
      <c r="O32" t="n">
        <v>5</v>
      </c>
      <c r="P32" t="n">
        <v>0.0002441</v>
      </c>
      <c r="Q32" t="n">
        <v>-5</v>
      </c>
      <c r="R32" t="n">
        <v>0.001953</v>
      </c>
      <c r="S32">
        <f>IMAGE("https://mitra.stanford.edu/kundaje/oak/projects/neuro-variants/variant_position/credible/roussos_2024/variant_figures/roussos_2024.infant.GLU/rs56335113_count_position.png",4,220,900)</f>
        <v/>
      </c>
      <c r="T32">
        <f>IMAGE("https://mitra.stanford.edu/kundaje/oak/projects/neuro-variants/variant_position/credible/roussos_2024/variant_figures/roussos_2024.infant.GLU/rs56335113_profile_position.png",4,220,900)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-0.0566313537999999</v>
      </c>
      <c r="G33" t="n">
        <v>0.1468290792009614</v>
      </c>
      <c r="H33" t="n">
        <v>0.0131804615106337</v>
      </c>
      <c r="I33" t="n">
        <v>0.476989834335357</v>
      </c>
      <c r="J33" t="n">
        <v>0.0779371238342996</v>
      </c>
      <c r="K33" t="n">
        <v>0.2629546416719388</v>
      </c>
      <c r="L33" t="b">
        <v>0</v>
      </c>
      <c r="M33" t="b">
        <v>0</v>
      </c>
      <c r="N33" t="inlineStr">
        <is>
          <t>ref</t>
        </is>
      </c>
      <c r="O33" t="n">
        <v>100</v>
      </c>
      <c r="P33" t="n">
        <v>0.01248</v>
      </c>
      <c r="Q33" t="n">
        <v>100</v>
      </c>
      <c r="R33" t="n">
        <v>0.228</v>
      </c>
      <c r="S33">
        <f>IMAGE("https://mitra.stanford.edu/kundaje/oak/projects/neuro-variants/variant_position/credible/roussos_2024/variant_figures/roussos_2024.infant.GLU/rs1009080_count_position.png",4,220,900)</f>
        <v/>
      </c>
      <c r="T33">
        <f>IMAGE("https://mitra.stanford.edu/kundaje/oak/projects/neuro-variants/variant_position/credible/roussos_2024/variant_figures/roussos_2024.infant.GLU/rs1009080_profile_position.png",4,220,900)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-0.039564795</v>
      </c>
      <c r="G34" t="n">
        <v>0.2460954493319463</v>
      </c>
      <c r="H34" t="n">
        <v>0.0115104909653788</v>
      </c>
      <c r="I34" t="n">
        <v>0.5995152635025149</v>
      </c>
      <c r="J34" t="n">
        <v>0.4413776758746885</v>
      </c>
      <c r="K34" t="n">
        <v>0.0385560268964578</v>
      </c>
      <c r="L34" t="b">
        <v>0</v>
      </c>
      <c r="M34" t="b">
        <v>0</v>
      </c>
      <c r="N34" t="inlineStr">
        <is>
          <t>ref</t>
        </is>
      </c>
      <c r="O34" t="n">
        <v>-5</v>
      </c>
      <c r="P34" t="n">
        <v>0.001099</v>
      </c>
      <c r="Q34" t="n">
        <v>30</v>
      </c>
      <c r="R34" t="n">
        <v>0.02246</v>
      </c>
      <c r="S34">
        <f>IMAGE("https://mitra.stanford.edu/kundaje/oak/projects/neuro-variants/variant_position/credible/roussos_2024/variant_figures/roussos_2024.infant.GLU/rs6679167_count_position.png",4,220,900)</f>
        <v/>
      </c>
      <c r="T34">
        <f>IMAGE("https://mitra.stanford.edu/kundaje/oak/projects/neuro-variants/variant_position/credible/roussos_2024/variant_figures/roussos_2024.infant.GLU/rs6679167_profile_position.png",4,220,900)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-0.272380162</v>
      </c>
      <c r="G35" t="n">
        <v>0.004485318443129</v>
      </c>
      <c r="H35" t="n">
        <v>0.0353841106394031</v>
      </c>
      <c r="I35" t="n">
        <v>0.0328752565902498</v>
      </c>
      <c r="J35" t="n">
        <v>0.4447992680614652</v>
      </c>
      <c r="K35" t="n">
        <v>0.0380152839623953</v>
      </c>
      <c r="L35" t="b">
        <v>1</v>
      </c>
      <c r="M35" t="b">
        <v>1</v>
      </c>
      <c r="N35" t="inlineStr">
        <is>
          <t>ref</t>
        </is>
      </c>
      <c r="O35" t="n">
        <v>-70</v>
      </c>
      <c r="P35" t="n">
        <v>0.003723</v>
      </c>
      <c r="Q35" t="n">
        <v>40</v>
      </c>
      <c r="R35" t="n">
        <v>0.01221</v>
      </c>
      <c r="S35">
        <f>IMAGE("https://mitra.stanford.edu/kundaje/oak/projects/neuro-variants/variant_position/credible/roussos_2024/variant_figures/roussos_2024.infant.GLU/rs1498232_count_position.png",4,220,900)</f>
        <v/>
      </c>
      <c r="T35">
        <f>IMAGE("https://mitra.stanford.edu/kundaje/oak/projects/neuro-variants/variant_position/credible/roussos_2024/variant_figures/roussos_2024.infant.GLU/rs1498232_profile_position.png",4,220,900)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0.0514526167999999</v>
      </c>
      <c r="G36" t="n">
        <v>0.1209360592469626</v>
      </c>
      <c r="H36" t="n">
        <v>0.0221766109874599</v>
      </c>
      <c r="I36" t="n">
        <v>0.1444091516409448</v>
      </c>
      <c r="J36" t="n">
        <v>0.2982263718335942</v>
      </c>
      <c r="K36" t="n">
        <v>0.0716528358617689</v>
      </c>
      <c r="L36" t="b">
        <v>0</v>
      </c>
      <c r="M36" t="b">
        <v>0</v>
      </c>
      <c r="N36" t="inlineStr">
        <is>
          <t>alt</t>
        </is>
      </c>
      <c r="O36" t="n">
        <v>-50</v>
      </c>
      <c r="P36" t="n">
        <v>0.01102</v>
      </c>
      <c r="Q36" t="n">
        <v>90</v>
      </c>
      <c r="R36" t="n">
        <v>0.0654</v>
      </c>
      <c r="S36">
        <f>IMAGE("https://mitra.stanford.edu/kundaje/oak/projects/neuro-variants/variant_position/credible/roussos_2024/variant_figures/roussos_2024.infant.GLU/rs10127492_count_position.png",4,220,900)</f>
        <v/>
      </c>
      <c r="T36">
        <f>IMAGE("https://mitra.stanford.edu/kundaje/oak/projects/neuro-variants/variant_position/credible/roussos_2024/variant_figures/roussos_2024.infant.GLU/rs10127492_profile_position.png",4,220,900)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0.0375945002</v>
      </c>
      <c r="G37" t="n">
        <v>0.2516971198423353</v>
      </c>
      <c r="H37" t="n">
        <v>0.0141402346598503</v>
      </c>
      <c r="I37" t="n">
        <v>0.4072275493728672</v>
      </c>
      <c r="J37" t="n">
        <v>0.0580138451024052</v>
      </c>
      <c r="K37" t="n">
        <v>0.3128747127529952</v>
      </c>
      <c r="L37" t="b">
        <v>0</v>
      </c>
      <c r="M37" t="b">
        <v>0</v>
      </c>
      <c r="N37" t="inlineStr">
        <is>
          <t>alt</t>
        </is>
      </c>
      <c r="O37" t="n">
        <v>-100</v>
      </c>
      <c r="P37" t="n">
        <v>0.01456</v>
      </c>
      <c r="Q37" t="n">
        <v>80</v>
      </c>
      <c r="R37" t="n">
        <v>0.1228</v>
      </c>
      <c r="S37">
        <f>IMAGE("https://mitra.stanford.edu/kundaje/oak/projects/neuro-variants/variant_position/credible/roussos_2024/variant_figures/roussos_2024.infant.GLU/rs10798981_count_position.png",4,220,900)</f>
        <v/>
      </c>
      <c r="T37">
        <f>IMAGE("https://mitra.stanford.edu/kundaje/oak/projects/neuro-variants/variant_position/credible/roussos_2024/variant_figures/roussos_2024.infant.GLU/rs10798981_profile_position.png",4,220,900)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-0.0330210077</v>
      </c>
      <c r="G38" t="n">
        <v>0.2627197452392365</v>
      </c>
      <c r="H38" t="n">
        <v>0.0164671568373706</v>
      </c>
      <c r="I38" t="n">
        <v>0.2936187603938486</v>
      </c>
      <c r="J38" t="n">
        <v>0.111854317775965</v>
      </c>
      <c r="K38" t="n">
        <v>0.1980265145023524</v>
      </c>
      <c r="L38" t="b">
        <v>0</v>
      </c>
      <c r="M38" t="b">
        <v>0</v>
      </c>
      <c r="N38" t="inlineStr">
        <is>
          <t>ref</t>
        </is>
      </c>
      <c r="O38" t="n">
        <v>-70</v>
      </c>
      <c r="P38" t="n">
        <v>0.002182</v>
      </c>
      <c r="Q38" t="n">
        <v>0</v>
      </c>
      <c r="R38" t="n">
        <v>0</v>
      </c>
      <c r="S38">
        <f>IMAGE("https://mitra.stanford.edu/kundaje/oak/projects/neuro-variants/variant_position/credible/roussos_2024/variant_figures/roussos_2024.infant.GLU/rs143052415_count_position.png",4,220,900)</f>
        <v/>
      </c>
      <c r="T38">
        <f>IMAGE("https://mitra.stanford.edu/kundaje/oak/projects/neuro-variants/variant_position/credible/roussos_2024/variant_figures/roussos_2024.infant.GLU/rs143052415_profile_position.png",4,220,900)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-0.078691577</v>
      </c>
      <c r="G39" t="n">
        <v>0.07909257905769219</v>
      </c>
      <c r="H39" t="n">
        <v>0.0129792604493968</v>
      </c>
      <c r="I39" t="n">
        <v>0.4819406380267398</v>
      </c>
      <c r="J39" t="n">
        <v>0.0371513922264599</v>
      </c>
      <c r="K39" t="n">
        <v>0.4262549665504032</v>
      </c>
      <c r="L39" t="b">
        <v>0</v>
      </c>
      <c r="M39" t="b">
        <v>0</v>
      </c>
      <c r="N39" t="inlineStr">
        <is>
          <t>ref</t>
        </is>
      </c>
      <c r="O39" t="n">
        <v>80</v>
      </c>
      <c r="P39" t="n">
        <v>0.02023</v>
      </c>
      <c r="Q39" t="n">
        <v>80</v>
      </c>
      <c r="R39" t="n">
        <v>0.11194</v>
      </c>
      <c r="S39">
        <f>IMAGE("https://mitra.stanford.edu/kundaje/oak/projects/neuro-variants/variant_position/credible/roussos_2024/variant_figures/roussos_2024.infant.GLU/rs1966008_count_position.png",4,220,900)</f>
        <v/>
      </c>
      <c r="T39">
        <f>IMAGE("https://mitra.stanford.edu/kundaje/oak/projects/neuro-variants/variant_position/credible/roussos_2024/variant_figures/roussos_2024.infant.GLU/rs1966008_profile_position.png",4,220,900)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0.051899651</v>
      </c>
      <c r="G40" t="n">
        <v>0.1763535598754984</v>
      </c>
      <c r="H40" t="n">
        <v>0.0139363581069463</v>
      </c>
      <c r="I40" t="n">
        <v>0.4196848887918402</v>
      </c>
      <c r="J40" t="n">
        <v>0.0477270222006657</v>
      </c>
      <c r="K40" t="n">
        <v>0.3676123262178972</v>
      </c>
      <c r="L40" t="b">
        <v>0</v>
      </c>
      <c r="M40" t="b">
        <v>0</v>
      </c>
      <c r="N40" t="inlineStr">
        <is>
          <t>alt</t>
        </is>
      </c>
      <c r="O40" t="n">
        <v>65</v>
      </c>
      <c r="P40" t="n">
        <v>0.0112</v>
      </c>
      <c r="Q40" t="n">
        <v>60</v>
      </c>
      <c r="R40" t="n">
        <v>0.05273</v>
      </c>
      <c r="S40">
        <f>IMAGE("https://mitra.stanford.edu/kundaje/oak/projects/neuro-variants/variant_position/credible/roussos_2024/variant_figures/roussos_2024.infant.GLU/rs1966007_count_position.png",4,220,900)</f>
        <v/>
      </c>
      <c r="T40">
        <f>IMAGE("https://mitra.stanford.edu/kundaje/oak/projects/neuro-variants/variant_position/credible/roussos_2024/variant_figures/roussos_2024.infant.GLU/rs1966007_profile_position.png",4,220,900)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0.1338779699999999</v>
      </c>
      <c r="G41" t="n">
        <v>0.0296408469313692</v>
      </c>
      <c r="H41" t="n">
        <v>0.028976619370242</v>
      </c>
      <c r="I41" t="n">
        <v>0.06603312616332691</v>
      </c>
      <c r="J41" t="n">
        <v>0.0966147842765492</v>
      </c>
      <c r="K41" t="n">
        <v>0.2190037309762325</v>
      </c>
      <c r="L41" t="b">
        <v>0</v>
      </c>
      <c r="M41" t="b">
        <v>0</v>
      </c>
      <c r="N41" t="inlineStr">
        <is>
          <t>alt</t>
        </is>
      </c>
      <c r="O41" t="n">
        <v>95</v>
      </c>
      <c r="P41" t="n">
        <v>0.01813</v>
      </c>
      <c r="Q41" t="n">
        <v>-85</v>
      </c>
      <c r="R41" t="n">
        <v>0.06824</v>
      </c>
      <c r="S41">
        <f>IMAGE("https://mitra.stanford.edu/kundaje/oak/projects/neuro-variants/variant_position/credible/roussos_2024/variant_figures/roussos_2024.infant.GLU/rs616924_count_position.png",4,220,900)</f>
        <v/>
      </c>
      <c r="T41">
        <f>IMAGE("https://mitra.stanford.edu/kundaje/oak/projects/neuro-variants/variant_position/credible/roussos_2024/variant_figures/roussos_2024.infant.GLU/rs616924_profile_position.png",4,220,900)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-0.03587122376</v>
      </c>
      <c r="G42" t="n">
        <v>0.2787945919057437</v>
      </c>
      <c r="H42" t="n">
        <v>0.0283672561888855</v>
      </c>
      <c r="I42" t="n">
        <v>0.0687586745166847</v>
      </c>
      <c r="J42" t="n">
        <v>0.1839304217465111</v>
      </c>
      <c r="K42" t="n">
        <v>0.1205707482973477</v>
      </c>
      <c r="L42" t="b">
        <v>0</v>
      </c>
      <c r="M42" t="b">
        <v>0</v>
      </c>
      <c r="N42" t="inlineStr">
        <is>
          <t>ref</t>
        </is>
      </c>
      <c r="O42" t="n">
        <v>90</v>
      </c>
      <c r="P42" t="n">
        <v>0.03052</v>
      </c>
      <c r="Q42" t="n">
        <v>95</v>
      </c>
      <c r="R42" t="n">
        <v>0.0454</v>
      </c>
      <c r="S42">
        <f>IMAGE("https://mitra.stanford.edu/kundaje/oak/projects/neuro-variants/variant_position/credible/roussos_2024/variant_figures/roussos_2024.infant.GLU/rs28734113_count_position.png",4,220,900)</f>
        <v/>
      </c>
      <c r="T42">
        <f>IMAGE("https://mitra.stanford.edu/kundaje/oak/projects/neuro-variants/variant_position/credible/roussos_2024/variant_figures/roussos_2024.infant.GLU/rs28734113_profile_position.png",4,220,900)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0.00772521436</v>
      </c>
      <c r="G43" t="n">
        <v>0.6896931279725206</v>
      </c>
      <c r="H43" t="n">
        <v>0.0331613321383745</v>
      </c>
      <c r="I43" t="n">
        <v>0.0412655124702799</v>
      </c>
      <c r="J43" t="n">
        <v>0.0170341056901606</v>
      </c>
      <c r="K43" t="n">
        <v>0.5792757187869609</v>
      </c>
      <c r="L43" t="b">
        <v>0</v>
      </c>
      <c r="M43" t="b">
        <v>0</v>
      </c>
      <c r="N43" t="inlineStr">
        <is>
          <t>alt</t>
        </is>
      </c>
      <c r="O43" t="n">
        <v>-100</v>
      </c>
      <c r="P43" t="n">
        <v>0.1809</v>
      </c>
      <c r="Q43" t="n">
        <v>-100</v>
      </c>
      <c r="R43" t="n">
        <v>0.167</v>
      </c>
      <c r="S43">
        <f>IMAGE("https://mitra.stanford.edu/kundaje/oak/projects/neuro-variants/variant_position/credible/roussos_2024/variant_figures/roussos_2024.infant.GLU/rs12562583_count_position.png",4,220,900)</f>
        <v/>
      </c>
      <c r="T43">
        <f>IMAGE("https://mitra.stanford.edu/kundaje/oak/projects/neuro-variants/variant_position/credible/roussos_2024/variant_figures/roussos_2024.infant.GLU/rs12562583_profile_position.png",4,220,900)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0.0620918544</v>
      </c>
      <c r="G44" t="n">
        <v>0.1208706143790696</v>
      </c>
      <c r="H44" t="n">
        <v>0.0155567950201461</v>
      </c>
      <c r="I44" t="n">
        <v>0.3327286510441536</v>
      </c>
      <c r="J44" t="n">
        <v>0.0250611785974117</v>
      </c>
      <c r="K44" t="n">
        <v>0.4938883648317116</v>
      </c>
      <c r="L44" t="b">
        <v>0</v>
      </c>
      <c r="M44" t="b">
        <v>0</v>
      </c>
      <c r="N44" t="inlineStr">
        <is>
          <t>alt</t>
        </is>
      </c>
      <c r="O44" t="n">
        <v>-100</v>
      </c>
      <c r="P44" t="n">
        <v>0.01141</v>
      </c>
      <c r="Q44" t="n">
        <v>-95</v>
      </c>
      <c r="R44" t="n">
        <v>0.07324</v>
      </c>
      <c r="S44">
        <f>IMAGE("https://mitra.stanford.edu/kundaje/oak/projects/neuro-variants/variant_position/credible/roussos_2024/variant_figures/roussos_2024.infant.GLU/rs6658453_count_position.png",4,220,900)</f>
        <v/>
      </c>
      <c r="T44">
        <f>IMAGE("https://mitra.stanford.edu/kundaje/oak/projects/neuro-variants/variant_position/credible/roussos_2024/variant_figures/roussos_2024.infant.GLU/rs6658453_profile_position.png",4,220,900)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0.0519636205999999</v>
      </c>
      <c r="G45" t="n">
        <v>0.1682400402808125</v>
      </c>
      <c r="H45" t="n">
        <v>0.0116989304969743</v>
      </c>
      <c r="I45" t="n">
        <v>0.5771714917240158</v>
      </c>
      <c r="J45" t="n">
        <v>0.0583302101016336</v>
      </c>
      <c r="K45" t="n">
        <v>0.3225872979169818</v>
      </c>
      <c r="L45" t="b">
        <v>0</v>
      </c>
      <c r="M45" t="b">
        <v>0</v>
      </c>
      <c r="N45" t="inlineStr">
        <is>
          <t>alt</t>
        </is>
      </c>
      <c r="O45" t="n">
        <v>-85</v>
      </c>
      <c r="P45" t="n">
        <v>0.004654</v>
      </c>
      <c r="Q45" t="n">
        <v>-80</v>
      </c>
      <c r="R45" t="n">
        <v>0.07184</v>
      </c>
      <c r="S45">
        <f>IMAGE("https://mitra.stanford.edu/kundaje/oak/projects/neuro-variants/variant_position/credible/roussos_2024/variant_figures/roussos_2024.infant.GLU/rs11264194_count_position.png",4,220,900)</f>
        <v/>
      </c>
      <c r="T45">
        <f>IMAGE("https://mitra.stanford.edu/kundaje/oak/projects/neuro-variants/variant_position/credible/roussos_2024/variant_figures/roussos_2024.infant.GLU/rs11264194_profile_position.png",4,220,900)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0.167122152</v>
      </c>
      <c r="G46" t="n">
        <v>0.0168093914665449</v>
      </c>
      <c r="H46" t="n">
        <v>0.0361741689490048</v>
      </c>
      <c r="I46" t="n">
        <v>0.0304150716221123</v>
      </c>
      <c r="J46" t="n">
        <v>0.1696587226349786</v>
      </c>
      <c r="K46" t="n">
        <v>0.1401215930196376</v>
      </c>
      <c r="L46" t="b">
        <v>1</v>
      </c>
      <c r="M46" t="b">
        <v>0</v>
      </c>
      <c r="N46" t="inlineStr">
        <is>
          <t>alt</t>
        </is>
      </c>
      <c r="O46" t="n">
        <v>-100</v>
      </c>
      <c r="P46" t="n">
        <v>0.03503</v>
      </c>
      <c r="Q46" t="n">
        <v>85</v>
      </c>
      <c r="R46" t="n">
        <v>0.0393</v>
      </c>
      <c r="S46">
        <f>IMAGE("https://mitra.stanford.edu/kundaje/oak/projects/neuro-variants/variant_position/credible/roussos_2024/variant_figures/roussos_2024.infant.GLU/rs16822339_count_position.png",4,220,900)</f>
        <v/>
      </c>
      <c r="T46">
        <f>IMAGE("https://mitra.stanford.edu/kundaje/oak/projects/neuro-variants/variant_position/credible/roussos_2024/variant_figures/roussos_2024.infant.GLU/rs16822339_profile_position.png",4,220,900)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0.0197182445999999</v>
      </c>
      <c r="G47" t="n">
        <v>0.2720465229274653</v>
      </c>
      <c r="H47" t="n">
        <v>0.0143722923666489</v>
      </c>
      <c r="I47" t="n">
        <v>0.3994155742078706</v>
      </c>
      <c r="J47" t="n">
        <v>0.0138517163076786</v>
      </c>
      <c r="K47" t="n">
        <v>0.6192075289107176</v>
      </c>
      <c r="L47" t="b">
        <v>0</v>
      </c>
      <c r="M47" t="b">
        <v>0</v>
      </c>
      <c r="N47" t="inlineStr">
        <is>
          <t>alt</t>
        </is>
      </c>
      <c r="O47" t="n">
        <v>100</v>
      </c>
      <c r="P47" t="n">
        <v>0.0257</v>
      </c>
      <c r="Q47" t="n">
        <v>55</v>
      </c>
      <c r="R47" t="n">
        <v>0.0756</v>
      </c>
      <c r="S47">
        <f>IMAGE("https://mitra.stanford.edu/kundaje/oak/projects/neuro-variants/variant_position/credible/roussos_2024/variant_figures/roussos_2024.infant.GLU/rs12037102_count_position.png",4,220,900)</f>
        <v/>
      </c>
      <c r="T47">
        <f>IMAGE("https://mitra.stanford.edu/kundaje/oak/projects/neuro-variants/variant_position/credible/roussos_2024/variant_figures/roussos_2024.infant.GLU/rs12037102_profile_position.png",4,220,900)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-0.0357634915999999</v>
      </c>
      <c r="G48" t="n">
        <v>0.2631017840196943</v>
      </c>
      <c r="H48" t="n">
        <v>0.0701294065659141</v>
      </c>
      <c r="I48" t="n">
        <v>0.0013427513080087</v>
      </c>
      <c r="J48" t="n">
        <v>0.0876397186886835</v>
      </c>
      <c r="K48" t="n">
        <v>0.250546147141775</v>
      </c>
      <c r="L48" t="b">
        <v>1</v>
      </c>
      <c r="M48" t="b">
        <v>1</v>
      </c>
      <c r="N48" t="inlineStr">
        <is>
          <t>ref</t>
        </is>
      </c>
      <c r="O48" t="n">
        <v>-40</v>
      </c>
      <c r="P48" t="n">
        <v>0.006958</v>
      </c>
      <c r="Q48" t="n">
        <v>-100</v>
      </c>
      <c r="R48" t="n">
        <v>0.2406</v>
      </c>
      <c r="S48">
        <f>IMAGE("https://mitra.stanford.edu/kundaje/oak/projects/neuro-variants/variant_position/credible/roussos_2024/variant_figures/roussos_2024.infant.GLU/rs515346_count_position.png",4,220,900)</f>
        <v/>
      </c>
      <c r="T48">
        <f>IMAGE("https://mitra.stanford.edu/kundaje/oak/projects/neuro-variants/variant_position/credible/roussos_2024/variant_figures/roussos_2024.infant.GLU/rs515346_profile_position.png",4,220,900)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0.00412641686</v>
      </c>
      <c r="G49" t="n">
        <v>0.7673581602155556</v>
      </c>
      <c r="H49" t="n">
        <v>0.0444973445764551</v>
      </c>
      <c r="I49" t="n">
        <v>0.0129447113268945</v>
      </c>
      <c r="J49" t="n">
        <v>0.1583941444917215</v>
      </c>
      <c r="K49" t="n">
        <v>0.1432798732001808</v>
      </c>
      <c r="L49" t="b">
        <v>1</v>
      </c>
      <c r="M49" t="b">
        <v>0</v>
      </c>
      <c r="N49" t="inlineStr">
        <is>
          <t>alt</t>
        </is>
      </c>
      <c r="O49" t="n">
        <v>80</v>
      </c>
      <c r="P49" t="n">
        <v>0.01538</v>
      </c>
      <c r="Q49" t="n">
        <v>85</v>
      </c>
      <c r="R49" t="n">
        <v>0.0954</v>
      </c>
      <c r="S49">
        <f>IMAGE("https://mitra.stanford.edu/kundaje/oak/projects/neuro-variants/variant_position/credible/roussos_2024/variant_figures/roussos_2024.infant.GLU/rs2765012_count_position.png",4,220,900)</f>
        <v/>
      </c>
      <c r="T49">
        <f>IMAGE("https://mitra.stanford.edu/kundaje/oak/projects/neuro-variants/variant_position/credible/roussos_2024/variant_figures/roussos_2024.infant.GLU/rs2765012_profile_position.png",4,220,900)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-0.0465346871999999</v>
      </c>
      <c r="G50" t="n">
        <v>0.1889429724964931</v>
      </c>
      <c r="H50" t="n">
        <v>0.0126177675378466</v>
      </c>
      <c r="I50" t="n">
        <v>0.5091061924509135</v>
      </c>
      <c r="J50" t="n">
        <v>0.0120108467999735</v>
      </c>
      <c r="K50" t="n">
        <v>0.6417209410397081</v>
      </c>
      <c r="L50" t="b">
        <v>0</v>
      </c>
      <c r="M50" t="b">
        <v>0</v>
      </c>
      <c r="N50" t="inlineStr">
        <is>
          <t>ref</t>
        </is>
      </c>
      <c r="O50" t="n">
        <v>-75</v>
      </c>
      <c r="P50" t="n">
        <v>0.00792</v>
      </c>
      <c r="Q50" t="n">
        <v>-5</v>
      </c>
      <c r="R50" t="n">
        <v>0.005615</v>
      </c>
      <c r="S50">
        <f>IMAGE("https://mitra.stanford.edu/kundaje/oak/projects/neuro-variants/variant_position/credible/roussos_2024/variant_figures/roussos_2024.infant.GLU/rs647690_count_position.png",4,220,900)</f>
        <v/>
      </c>
      <c r="T50">
        <f>IMAGE("https://mitra.stanford.edu/kundaje/oak/projects/neuro-variants/variant_position/credible/roussos_2024/variant_figures/roussos_2024.infant.GLU/rs647690_profile_position.png",4,220,900)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0.0571701888</v>
      </c>
      <c r="G51" t="n">
        <v>0.1404231656364747</v>
      </c>
      <c r="H51" t="n">
        <v>0.0164278250020437</v>
      </c>
      <c r="I51" t="n">
        <v>0.294194995825642</v>
      </c>
      <c r="J51" t="n">
        <v>0.0348409356467293</v>
      </c>
      <c r="K51" t="n">
        <v>0.4212505344926007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0.1672</v>
      </c>
      <c r="Q51" t="n">
        <v>-100</v>
      </c>
      <c r="R51" t="n">
        <v>0.08169999999999999</v>
      </c>
      <c r="S51">
        <f>IMAGE("https://mitra.stanford.edu/kundaje/oak/projects/neuro-variants/variant_position/credible/roussos_2024/variant_figures/roussos_2024.infant.GLU/rs2791962_count_position.png",4,220,900)</f>
        <v/>
      </c>
      <c r="T51">
        <f>IMAGE("https://mitra.stanford.edu/kundaje/oak/projects/neuro-variants/variant_position/credible/roussos_2024/variant_figures/roussos_2024.infant.GLU/rs2791962_profile_position.png",4,220,900)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-0.0130284644</v>
      </c>
      <c r="G52" t="n">
        <v>0.3343877630155044</v>
      </c>
      <c r="H52" t="n">
        <v>0.0381988665881718</v>
      </c>
      <c r="I52" t="n">
        <v>0.0243435746872353</v>
      </c>
      <c r="J52" t="n">
        <v>0.0036222138936042</v>
      </c>
      <c r="K52" t="n">
        <v>0.7885524025347165</v>
      </c>
      <c r="L52" t="b">
        <v>0</v>
      </c>
      <c r="M52" t="b">
        <v>0</v>
      </c>
      <c r="N52" t="inlineStr">
        <is>
          <t>ref</t>
        </is>
      </c>
      <c r="O52" t="n">
        <v>-70</v>
      </c>
      <c r="P52" t="n">
        <v>0.009820000000000001</v>
      </c>
      <c r="Q52" t="n">
        <v>85</v>
      </c>
      <c r="R52" t="n">
        <v>0.09186</v>
      </c>
      <c r="S52">
        <f>IMAGE("https://mitra.stanford.edu/kundaje/oak/projects/neuro-variants/variant_position/credible/roussos_2024/variant_figures/roussos_2024.infant.GLU/rs10796876_count_position.png",4,220,900)</f>
        <v/>
      </c>
      <c r="T52">
        <f>IMAGE("https://mitra.stanford.edu/kundaje/oak/projects/neuro-variants/variant_position/credible/roussos_2024/variant_figures/roussos_2024.infant.GLU/rs10796876_profile_position.png",4,220,900)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0.0138418516</v>
      </c>
      <c r="G53" t="n">
        <v>0.5380533793656568</v>
      </c>
      <c r="H53" t="n">
        <v>0.0400614348788063</v>
      </c>
      <c r="I53" t="n">
        <v>0.020171928241597</v>
      </c>
      <c r="J53" t="n">
        <v>0.0780275138340792</v>
      </c>
      <c r="K53" t="n">
        <v>0.2521089679313648</v>
      </c>
      <c r="L53" t="b">
        <v>0</v>
      </c>
      <c r="M53" t="b">
        <v>0</v>
      </c>
      <c r="N53" t="inlineStr">
        <is>
          <t>alt</t>
        </is>
      </c>
      <c r="O53" t="n">
        <v>85</v>
      </c>
      <c r="P53" t="n">
        <v>0.014305</v>
      </c>
      <c r="Q53" t="n">
        <v>80</v>
      </c>
      <c r="R53" t="n">
        <v>0.3022</v>
      </c>
      <c r="S53">
        <f>IMAGE("https://mitra.stanford.edu/kundaje/oak/projects/neuro-variants/variant_position/credible/roussos_2024/variant_figures/roussos_2024.infant.GLU/rs709309_count_position.png",4,220,900)</f>
        <v/>
      </c>
      <c r="T53">
        <f>IMAGE("https://mitra.stanford.edu/kundaje/oak/projects/neuro-variants/variant_position/credible/roussos_2024/variant_figures/roussos_2024.infant.GLU/rs709309_profile_position.png",4,220,900)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-0.40520647</v>
      </c>
      <c r="G54" t="n">
        <v>0.0010310831638224</v>
      </c>
      <c r="H54" t="n">
        <v>0.0998803111813444</v>
      </c>
      <c r="I54" t="n">
        <v>0.0001921986286776</v>
      </c>
      <c r="J54" t="n">
        <v>0.07144998787451209</v>
      </c>
      <c r="K54" t="n">
        <v>0.2814458695825321</v>
      </c>
      <c r="L54" t="b">
        <v>1</v>
      </c>
      <c r="M54" t="b">
        <v>1</v>
      </c>
      <c r="N54" t="inlineStr">
        <is>
          <t>ref</t>
        </is>
      </c>
      <c r="O54" t="n">
        <v>50</v>
      </c>
      <c r="P54" t="n">
        <v>0.01196</v>
      </c>
      <c r="Q54" t="n">
        <v>-75</v>
      </c>
      <c r="R54" t="n">
        <v>0.02832</v>
      </c>
      <c r="S54">
        <f>IMAGE("https://mitra.stanford.edu/kundaje/oak/projects/neuro-variants/variant_position/credible/roussos_2024/variant_figures/roussos_2024.infant.GLU/rs274728_count_position.png",4,220,900)</f>
        <v/>
      </c>
      <c r="T54">
        <f>IMAGE("https://mitra.stanford.edu/kundaje/oak/projects/neuro-variants/variant_position/credible/roussos_2024/variant_figures/roussos_2024.infant.GLU/rs274728_profile_position.png",4,220,900)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-0.00529932078</v>
      </c>
      <c r="G55" t="n">
        <v>0.7911750052249871</v>
      </c>
      <c r="H55" t="n">
        <v>0.0277978249717602</v>
      </c>
      <c r="I55" t="n">
        <v>0.0732650556210062</v>
      </c>
      <c r="J55" t="n">
        <v>0.0105844485107696</v>
      </c>
      <c r="K55" t="n">
        <v>0.6515109232027886</v>
      </c>
      <c r="L55" t="b">
        <v>0</v>
      </c>
      <c r="M55" t="b">
        <v>0</v>
      </c>
      <c r="N55" t="inlineStr">
        <is>
          <t>ref</t>
        </is>
      </c>
      <c r="O55" t="n">
        <v>-20</v>
      </c>
      <c r="P55" t="n">
        <v>0.004395</v>
      </c>
      <c r="Q55" t="n">
        <v>-10</v>
      </c>
      <c r="R55" t="n">
        <v>0.02405</v>
      </c>
      <c r="S55">
        <f>IMAGE("https://mitra.stanford.edu/kundaje/oak/projects/neuro-variants/variant_position/credible/roussos_2024/variant_figures/roussos_2024.infant.GLU/rs812106_count_position.png",4,220,900)</f>
        <v/>
      </c>
      <c r="T55">
        <f>IMAGE("https://mitra.stanford.edu/kundaje/oak/projects/neuro-variants/variant_position/credible/roussos_2024/variant_figures/roussos_2024.infant.GLU/rs812106_profile_position.png",4,220,900)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-0.024131355152</v>
      </c>
      <c r="G56" t="n">
        <v>0.3198932317079926</v>
      </c>
      <c r="H56" t="n">
        <v>0.0171029096123199</v>
      </c>
      <c r="I56" t="n">
        <v>0.2837666246608785</v>
      </c>
      <c r="J56" t="n">
        <v>0.0289953482219625</v>
      </c>
      <c r="K56" t="n">
        <v>0.4761577037122369</v>
      </c>
      <c r="L56" t="b">
        <v>0</v>
      </c>
      <c r="M56" t="b">
        <v>0</v>
      </c>
      <c r="N56" t="inlineStr">
        <is>
          <t>ref</t>
        </is>
      </c>
      <c r="O56" t="n">
        <v>-5</v>
      </c>
      <c r="P56" t="n">
        <v>0.0004044</v>
      </c>
      <c r="Q56" t="n">
        <v>-15</v>
      </c>
      <c r="R56" t="n">
        <v>0.02538</v>
      </c>
      <c r="S56">
        <f>IMAGE("https://mitra.stanford.edu/kundaje/oak/projects/neuro-variants/variant_position/credible/roussos_2024/variant_figures/roussos_2024.infant.GLU/rs7542594_count_position.png",4,220,900)</f>
        <v/>
      </c>
      <c r="T56">
        <f>IMAGE("https://mitra.stanford.edu/kundaje/oak/projects/neuro-variants/variant_position/credible/roussos_2024/variant_figures/roussos_2024.infant.GLU/rs7542594_profile_position.png",4,220,900)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-0.0388509948</v>
      </c>
      <c r="G57" t="n">
        <v>0.2383398874441284</v>
      </c>
      <c r="H57" t="n">
        <v>0.0113481077474828</v>
      </c>
      <c r="I57" t="n">
        <v>0.6118528082948986</v>
      </c>
      <c r="J57" t="n">
        <v>0.0521010163363389</v>
      </c>
      <c r="K57" t="n">
        <v>0.3419884308049074</v>
      </c>
      <c r="L57" t="b">
        <v>0</v>
      </c>
      <c r="M57" t="b">
        <v>0</v>
      </c>
      <c r="N57" t="inlineStr">
        <is>
          <t>ref</t>
        </is>
      </c>
      <c r="O57" t="n">
        <v>-100</v>
      </c>
      <c r="P57" t="n">
        <v>0.00757</v>
      </c>
      <c r="Q57" t="n">
        <v>90</v>
      </c>
      <c r="R57" t="n">
        <v>0.1046</v>
      </c>
      <c r="S57">
        <f>IMAGE("https://mitra.stanford.edu/kundaje/oak/projects/neuro-variants/variant_position/credible/roussos_2024/variant_figures/roussos_2024.infant.GLU/rs839993_count_position.png",4,220,900)</f>
        <v/>
      </c>
      <c r="T57">
        <f>IMAGE("https://mitra.stanford.edu/kundaje/oak/projects/neuro-variants/variant_position/credible/roussos_2024/variant_figures/roussos_2024.infant.GLU/rs839993_profile_position.png",4,220,900)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-0.01086269734</v>
      </c>
      <c r="G58" t="n">
        <v>0.6237012940290518</v>
      </c>
      <c r="H58" t="n">
        <v>0.0290630076267882</v>
      </c>
      <c r="I58" t="n">
        <v>0.06383815164352299</v>
      </c>
      <c r="J58" t="n">
        <v>0.0233867589673493</v>
      </c>
      <c r="K58" t="n">
        <v>0.509728158543251</v>
      </c>
      <c r="L58" t="b">
        <v>0</v>
      </c>
      <c r="M58" t="b">
        <v>0</v>
      </c>
      <c r="N58" t="inlineStr">
        <is>
          <t>ref</t>
        </is>
      </c>
      <c r="O58" t="n">
        <v>100</v>
      </c>
      <c r="P58" t="n">
        <v>0.08840000000000001</v>
      </c>
      <c r="Q58" t="n">
        <v>100</v>
      </c>
      <c r="R58" t="n">
        <v>0.06714000000000001</v>
      </c>
      <c r="S58">
        <f>IMAGE("https://mitra.stanford.edu/kundaje/oak/projects/neuro-variants/variant_position/credible/roussos_2024/variant_figures/roussos_2024.infant.GLU/rs839996_count_position.png",4,220,900)</f>
        <v/>
      </c>
      <c r="T58">
        <f>IMAGE("https://mitra.stanford.edu/kundaje/oak/projects/neuro-variants/variant_position/credible/roussos_2024/variant_figures/roussos_2024.infant.GLU/rs839996_profile_position.png",4,220,900)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0.0570573184</v>
      </c>
      <c r="G59" t="n">
        <v>0.1510726379260122</v>
      </c>
      <c r="H59" t="n">
        <v>0.0136951277407096</v>
      </c>
      <c r="I59" t="n">
        <v>0.4354047162318106</v>
      </c>
      <c r="J59" t="n">
        <v>0.0034656848695958</v>
      </c>
      <c r="K59" t="n">
        <v>0.8218563860916215</v>
      </c>
      <c r="L59" t="b">
        <v>0</v>
      </c>
      <c r="M59" t="b">
        <v>0</v>
      </c>
      <c r="N59" t="inlineStr">
        <is>
          <t>alt</t>
        </is>
      </c>
      <c r="O59" t="n">
        <v>100</v>
      </c>
      <c r="P59" t="n">
        <v>0.1295</v>
      </c>
      <c r="Q59" t="n">
        <v>85</v>
      </c>
      <c r="R59" t="n">
        <v>0.04968</v>
      </c>
      <c r="S59">
        <f>IMAGE("https://mitra.stanford.edu/kundaje/oak/projects/neuro-variants/variant_position/credible/roussos_2024/variant_figures/roussos_2024.infant.GLU/rs11587504_count_position.png",4,220,900)</f>
        <v/>
      </c>
      <c r="T59">
        <f>IMAGE("https://mitra.stanford.edu/kundaje/oak/projects/neuro-variants/variant_position/credible/roussos_2024/variant_figures/roussos_2024.infant.GLU/rs11587504_profile_position.png",4,220,900)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-0.066374055</v>
      </c>
      <c r="G60" t="n">
        <v>0.1154342841296069</v>
      </c>
      <c r="H60" t="n">
        <v>0.0358240328090632</v>
      </c>
      <c r="I60" t="n">
        <v>0.0310368337381505</v>
      </c>
      <c r="J60" t="n">
        <v>0.0034954474304988</v>
      </c>
      <c r="K60" t="n">
        <v>0.8171237265088361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0.1471</v>
      </c>
      <c r="Q60" t="n">
        <v>-100</v>
      </c>
      <c r="R60" t="n">
        <v>0.05905</v>
      </c>
      <c r="S60">
        <f>IMAGE("https://mitra.stanford.edu/kundaje/oak/projects/neuro-variants/variant_position/credible/roussos_2024/variant_figures/roussos_2024.infant.GLU/rs685756_count_position.png",4,220,900)</f>
        <v/>
      </c>
      <c r="T60">
        <f>IMAGE("https://mitra.stanford.edu/kundaje/oak/projects/neuro-variants/variant_position/credible/roussos_2024/variant_figures/roussos_2024.infant.GLU/rs685756_profile_position.png",4,220,900)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0.0559813522</v>
      </c>
      <c r="G61" t="n">
        <v>0.1421765394379884</v>
      </c>
      <c r="H61" t="n">
        <v>0.0291749330809827</v>
      </c>
      <c r="I61" t="n">
        <v>0.06402257230334869</v>
      </c>
      <c r="J61" t="n">
        <v>0.0317335038250402</v>
      </c>
      <c r="K61" t="n">
        <v>0.4445655754684657</v>
      </c>
      <c r="L61" t="b">
        <v>0</v>
      </c>
      <c r="M61" t="b">
        <v>0</v>
      </c>
      <c r="N61" t="inlineStr">
        <is>
          <t>alt</t>
        </is>
      </c>
      <c r="O61" t="n">
        <v>-75</v>
      </c>
      <c r="P61" t="n">
        <v>0.004086</v>
      </c>
      <c r="Q61" t="n">
        <v>5</v>
      </c>
      <c r="R61" t="n">
        <v>0.01448</v>
      </c>
      <c r="S61">
        <f>IMAGE("https://mitra.stanford.edu/kundaje/oak/projects/neuro-variants/variant_position/credible/roussos_2024/variant_figures/roussos_2024.infant.GLU/rs839761_count_position.png",4,220,900)</f>
        <v/>
      </c>
      <c r="T61">
        <f>IMAGE("https://mitra.stanford.edu/kundaje/oak/projects/neuro-variants/variant_position/credible/roussos_2024/variant_figures/roussos_2024.infant.GLU/rs839761_profile_position.png",4,220,900)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0.0477527305999999</v>
      </c>
      <c r="G62" t="n">
        <v>0.1756839817169974</v>
      </c>
      <c r="H62" t="n">
        <v>0.0173216594437877</v>
      </c>
      <c r="I62" t="n">
        <v>0.2604157179944252</v>
      </c>
      <c r="J62" t="n">
        <v>0.08945633722083809</v>
      </c>
      <c r="K62" t="n">
        <v>0.2314012234411047</v>
      </c>
      <c r="L62" t="b">
        <v>0</v>
      </c>
      <c r="M62" t="b">
        <v>0</v>
      </c>
      <c r="N62" t="inlineStr">
        <is>
          <t>alt</t>
        </is>
      </c>
      <c r="O62" t="n">
        <v>-25</v>
      </c>
      <c r="P62" t="n">
        <v>0.006805</v>
      </c>
      <c r="Q62" t="n">
        <v>-70</v>
      </c>
      <c r="R62" t="n">
        <v>0.01904</v>
      </c>
      <c r="S62">
        <f>IMAGE("https://mitra.stanford.edu/kundaje/oak/projects/neuro-variants/variant_position/credible/roussos_2024/variant_figures/roussos_2024.infant.GLU/rs3001721_count_position.png",4,220,900)</f>
        <v/>
      </c>
      <c r="T62">
        <f>IMAGE("https://mitra.stanford.edu/kundaje/oak/projects/neuro-variants/variant_position/credible/roussos_2024/variant_figures/roussos_2024.infant.GLU/rs3001721_profile_position.png",4,220,900)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0.00393095172</v>
      </c>
      <c r="G63" t="n">
        <v>0.8039474595046563</v>
      </c>
      <c r="H63" t="n">
        <v>0.0386621019976618</v>
      </c>
      <c r="I63" t="n">
        <v>0.0238254918180899</v>
      </c>
      <c r="J63" t="n">
        <v>0.2228951255539142</v>
      </c>
      <c r="K63" t="n">
        <v>0.0985697709667803</v>
      </c>
      <c r="L63" t="b">
        <v>0</v>
      </c>
      <c r="M63" t="b">
        <v>0</v>
      </c>
      <c r="N63" t="inlineStr">
        <is>
          <t>alt</t>
        </is>
      </c>
      <c r="O63" t="n">
        <v>95</v>
      </c>
      <c r="P63" t="n">
        <v>0.01221</v>
      </c>
      <c r="Q63" t="n">
        <v>100</v>
      </c>
      <c r="R63" t="n">
        <v>0.4238</v>
      </c>
      <c r="S63">
        <f>IMAGE("https://mitra.stanford.edu/kundaje/oak/projects/neuro-variants/variant_position/credible/roussos_2024/variant_figures/roussos_2024.infant.GLU/rs72671121_count_position.png",4,220,900)</f>
        <v/>
      </c>
      <c r="T63">
        <f>IMAGE("https://mitra.stanford.edu/kundaje/oak/projects/neuro-variants/variant_position/credible/roussos_2024/variant_figures/roussos_2024.infant.GLU/rs72671121_profile_position.png",4,220,900)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0.0055735539099999</v>
      </c>
      <c r="G64" t="n">
        <v>0.7653764164744666</v>
      </c>
      <c r="H64" t="n">
        <v>0.0134860288420622</v>
      </c>
      <c r="I64" t="n">
        <v>0.44894118691709</v>
      </c>
      <c r="J64" t="n">
        <v>0.1307987389492713</v>
      </c>
      <c r="K64" t="n">
        <v>0.1695135799541749</v>
      </c>
      <c r="L64" t="b">
        <v>0</v>
      </c>
      <c r="M64" t="b">
        <v>0</v>
      </c>
      <c r="N64" t="inlineStr">
        <is>
          <t>alt</t>
        </is>
      </c>
      <c r="O64" t="n">
        <v>-100</v>
      </c>
      <c r="P64" t="n">
        <v>0.009445</v>
      </c>
      <c r="Q64" t="n">
        <v>95</v>
      </c>
      <c r="R64" t="n">
        <v>0.08359999999999999</v>
      </c>
      <c r="S64">
        <f>IMAGE("https://mitra.stanford.edu/kundaje/oak/projects/neuro-variants/variant_position/credible/roussos_2024/variant_figures/roussos_2024.infant.GLU/rs2027130_count_position.png",4,220,900)</f>
        <v/>
      </c>
      <c r="T64">
        <f>IMAGE("https://mitra.stanford.edu/kundaje/oak/projects/neuro-variants/variant_position/credible/roussos_2024/variant_figures/roussos_2024.infant.GLU/rs2027130_profile_position.png",4,220,900)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-0.005734911</v>
      </c>
      <c r="G65" t="n">
        <v>0.6400576938402553</v>
      </c>
      <c r="H65" t="n">
        <v>0.0112353787270369</v>
      </c>
      <c r="I65" t="n">
        <v>0.6195039478212019</v>
      </c>
      <c r="J65" t="n">
        <v>0.0024735995061618</v>
      </c>
      <c r="K65" t="n">
        <v>0.8330538162432807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0.03827</v>
      </c>
      <c r="Q65" t="n">
        <v>-40</v>
      </c>
      <c r="R65" t="n">
        <v>0.02979</v>
      </c>
      <c r="S65">
        <f>IMAGE("https://mitra.stanford.edu/kundaje/oak/projects/neuro-variants/variant_position/credible/roussos_2024/variant_figures/roussos_2024.infant.GLU/rs2494994_count_position.png",4,220,900)</f>
        <v/>
      </c>
      <c r="T65">
        <f>IMAGE("https://mitra.stanford.edu/kundaje/oak/projects/neuro-variants/variant_position/credible/roussos_2024/variant_figures/roussos_2024.infant.GLU/rs2494994_profile_position.png",4,220,900)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0.08262665059999991</v>
      </c>
      <c r="G66" t="n">
        <v>0.0780849498615817</v>
      </c>
      <c r="H66" t="n">
        <v>0.0243829283059745</v>
      </c>
      <c r="I66" t="n">
        <v>0.1125839892557594</v>
      </c>
      <c r="J66" t="n">
        <v>0.0022630569456998</v>
      </c>
      <c r="K66" t="n">
        <v>0.8673159179183229</v>
      </c>
      <c r="L66" t="b">
        <v>0</v>
      </c>
      <c r="M66" t="b">
        <v>0</v>
      </c>
      <c r="N66" t="inlineStr">
        <is>
          <t>alt</t>
        </is>
      </c>
      <c r="O66" t="n">
        <v>100</v>
      </c>
      <c r="P66" t="n">
        <v>0.013626</v>
      </c>
      <c r="Q66" t="n">
        <v>-100</v>
      </c>
      <c r="R66" t="n">
        <v>0.0936</v>
      </c>
      <c r="S66">
        <f>IMAGE("https://mitra.stanford.edu/kundaje/oak/projects/neuro-variants/variant_position/credible/roussos_2024/variant_figures/roussos_2024.infant.GLU/rs2842196_count_position.png",4,220,900)</f>
        <v/>
      </c>
      <c r="T66">
        <f>IMAGE("https://mitra.stanford.edu/kundaje/oak/projects/neuro-variants/variant_position/credible/roussos_2024/variant_figures/roussos_2024.infant.GLU/rs2842196_profile_position.png",4,220,900)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-0.038610487</v>
      </c>
      <c r="G67" t="n">
        <v>0.1652864279055727</v>
      </c>
      <c r="H67" t="n">
        <v>0.0297590909469852</v>
      </c>
      <c r="I67" t="n">
        <v>0.0644346686819614</v>
      </c>
      <c r="J67" t="n">
        <v>0.2152351242311338</v>
      </c>
      <c r="K67" t="n">
        <v>0.1006609844897016</v>
      </c>
      <c r="L67" t="b">
        <v>0</v>
      </c>
      <c r="M67" t="b">
        <v>0</v>
      </c>
      <c r="N67" t="inlineStr">
        <is>
          <t>ref</t>
        </is>
      </c>
      <c r="O67" t="n">
        <v>90</v>
      </c>
      <c r="P67" t="n">
        <v>0.00364</v>
      </c>
      <c r="Q67" t="n">
        <v>35</v>
      </c>
      <c r="R67" t="n">
        <v>0.03137</v>
      </c>
      <c r="S67">
        <f>IMAGE("https://mitra.stanford.edu/kundaje/oak/projects/neuro-variants/variant_position/credible/roussos_2024/variant_figures/roussos_2024.infant.GLU/rs7413861_count_position.png",4,220,900)</f>
        <v/>
      </c>
      <c r="T67">
        <f>IMAGE("https://mitra.stanford.edu/kundaje/oak/projects/neuro-variants/variant_position/credible/roussos_2024/variant_figures/roussos_2024.infant.GLU/rs7413861_profile_position.png",4,220,900)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0.0096781181999999</v>
      </c>
      <c r="G68" t="n">
        <v>0.6392365044928441</v>
      </c>
      <c r="H68" t="n">
        <v>0.0507326463265501</v>
      </c>
      <c r="I68" t="n">
        <v>0.0070755667556549</v>
      </c>
      <c r="J68" t="n">
        <v>0.008781057783460699</v>
      </c>
      <c r="K68" t="n">
        <v>0.6843089570386214</v>
      </c>
      <c r="L68" t="b">
        <v>0</v>
      </c>
      <c r="M68" t="b">
        <v>0</v>
      </c>
      <c r="N68" t="inlineStr">
        <is>
          <t>alt</t>
        </is>
      </c>
      <c r="O68" t="n">
        <v>-55</v>
      </c>
      <c r="P68" t="n">
        <v>0.006104</v>
      </c>
      <c r="Q68" t="n">
        <v>-55</v>
      </c>
      <c r="R68" t="n">
        <v>0.0725</v>
      </c>
      <c r="S68">
        <f>IMAGE("https://mitra.stanford.edu/kundaje/oak/projects/neuro-variants/variant_position/credible/roussos_2024/variant_figures/roussos_2024.infant.GLU/rs10789433_count_position.png",4,220,900)</f>
        <v/>
      </c>
      <c r="T68">
        <f>IMAGE("https://mitra.stanford.edu/kundaje/oak/projects/neuro-variants/variant_position/credible/roussos_2024/variant_figures/roussos_2024.infant.GLU/rs10789433_profile_position.png",4,220,900)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-0.0578984588</v>
      </c>
      <c r="G69" t="n">
        <v>0.1356926327060363</v>
      </c>
      <c r="H69" t="n">
        <v>0.0518218229626802</v>
      </c>
      <c r="I69" t="n">
        <v>0.0063633084840079</v>
      </c>
      <c r="J69" t="n">
        <v>0.0052999404748781</v>
      </c>
      <c r="K69" t="n">
        <v>0.7450651068318678</v>
      </c>
      <c r="L69" t="b">
        <v>0</v>
      </c>
      <c r="M69" t="b">
        <v>0</v>
      </c>
      <c r="N69" t="inlineStr">
        <is>
          <t>ref</t>
        </is>
      </c>
      <c r="O69" t="n">
        <v>25</v>
      </c>
      <c r="P69" t="n">
        <v>0.005615</v>
      </c>
      <c r="Q69" t="n">
        <v>-40</v>
      </c>
      <c r="R69" t="n">
        <v>0.05527</v>
      </c>
      <c r="S69">
        <f>IMAGE("https://mitra.stanford.edu/kundaje/oak/projects/neuro-variants/variant_position/credible/roussos_2024/variant_figures/roussos_2024.infant.GLU/rs10732843_count_position.png",4,220,900)</f>
        <v/>
      </c>
      <c r="T69">
        <f>IMAGE("https://mitra.stanford.edu/kundaje/oak/projects/neuro-variants/variant_position/credible/roussos_2024/variant_figures/roussos_2024.infant.GLU/rs10732843_profile_position.png",4,220,900)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0.0490522216</v>
      </c>
      <c r="G70" t="n">
        <v>0.1558202998969205</v>
      </c>
      <c r="H70" t="n">
        <v>0.0125597738565892</v>
      </c>
      <c r="I70" t="n">
        <v>0.5126627288648824</v>
      </c>
      <c r="J70" t="n">
        <v>0.0500992085363433</v>
      </c>
      <c r="K70" t="n">
        <v>0.3477448280709768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0.1094</v>
      </c>
      <c r="Q70" t="n">
        <v>-70</v>
      </c>
      <c r="R70" t="n">
        <v>0.04858</v>
      </c>
      <c r="S70">
        <f>IMAGE("https://mitra.stanford.edu/kundaje/oak/projects/neuro-variants/variant_position/credible/roussos_2024/variant_figures/roussos_2024.infant.GLU/rs2077652_count_position.png",4,220,900)</f>
        <v/>
      </c>
      <c r="T70">
        <f>IMAGE("https://mitra.stanford.edu/kundaje/oak/projects/neuro-variants/variant_position/credible/roussos_2024/variant_figures/roussos_2024.infant.GLU/rs2077652_profile_position.png",4,220,900)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-0.042157494</v>
      </c>
      <c r="G71" t="n">
        <v>0.2268656963729054</v>
      </c>
      <c r="H71" t="n">
        <v>0.0145574638883537</v>
      </c>
      <c r="I71" t="n">
        <v>0.3903625035002788</v>
      </c>
      <c r="J71" t="n">
        <v>0.2179942238585506</v>
      </c>
      <c r="K71" t="n">
        <v>0.1015282526595841</v>
      </c>
      <c r="L71" t="b">
        <v>0</v>
      </c>
      <c r="M71" t="b">
        <v>0</v>
      </c>
      <c r="N71" t="inlineStr">
        <is>
          <t>ref</t>
        </is>
      </c>
      <c r="O71" t="n">
        <v>90</v>
      </c>
      <c r="P71" t="n">
        <v>0.011765</v>
      </c>
      <c r="Q71" t="n">
        <v>80</v>
      </c>
      <c r="R71" t="n">
        <v>0.1694</v>
      </c>
      <c r="S71">
        <f>IMAGE("https://mitra.stanford.edu/kundaje/oak/projects/neuro-variants/variant_position/credible/roussos_2024/variant_figures/roussos_2024.infant.GLU/rs16830935_count_position.png",4,220,900)</f>
        <v/>
      </c>
      <c r="T71">
        <f>IMAGE("https://mitra.stanford.edu/kundaje/oak/projects/neuro-variants/variant_position/credible/roussos_2024/variant_figures/roussos_2024.infant.GLU/rs16830935_profile_position.png",4,220,900)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0.252005408</v>
      </c>
      <c r="G72" t="n">
        <v>0.0055958638297548</v>
      </c>
      <c r="H72" t="n">
        <v>0.0325021955923462</v>
      </c>
      <c r="I72" t="n">
        <v>0.0445315898666419</v>
      </c>
      <c r="J72" t="n">
        <v>0.3696179369033709</v>
      </c>
      <c r="K72" t="n">
        <v>0.0507652925410525</v>
      </c>
      <c r="L72" t="b">
        <v>1</v>
      </c>
      <c r="M72" t="b">
        <v>1</v>
      </c>
      <c r="N72" t="inlineStr">
        <is>
          <t>alt</t>
        </is>
      </c>
      <c r="O72" t="n">
        <v>65</v>
      </c>
      <c r="P72" t="n">
        <v>0.00818</v>
      </c>
      <c r="Q72" t="n">
        <v>65</v>
      </c>
      <c r="R72" t="n">
        <v>0.05713</v>
      </c>
      <c r="S72">
        <f>IMAGE("https://mitra.stanford.edu/kundaje/oak/projects/neuro-variants/variant_position/credible/roussos_2024/variant_figures/roussos_2024.infant.GLU/rs10890265_count_position.png",4,220,900)</f>
        <v/>
      </c>
      <c r="T72">
        <f>IMAGE("https://mitra.stanford.edu/kundaje/oak/projects/neuro-variants/variant_position/credible/roussos_2024/variant_figures/roussos_2024.infant.GLU/rs10890265_profile_position.png",4,220,900)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0.054005226</v>
      </c>
      <c r="G73" t="n">
        <v>0.1532888554234672</v>
      </c>
      <c r="H73" t="n">
        <v>0.016350588618296</v>
      </c>
      <c r="I73" t="n">
        <v>0.308837046000525</v>
      </c>
      <c r="J73" t="n">
        <v>0.0999768513415198</v>
      </c>
      <c r="K73" t="n">
        <v>0.2227874751772856</v>
      </c>
      <c r="L73" t="b">
        <v>0</v>
      </c>
      <c r="M73" t="b">
        <v>0</v>
      </c>
      <c r="N73" t="inlineStr">
        <is>
          <t>alt</t>
        </is>
      </c>
      <c r="O73" t="n">
        <v>100</v>
      </c>
      <c r="P73" t="n">
        <v>0.002918</v>
      </c>
      <c r="Q73" t="n">
        <v>-60</v>
      </c>
      <c r="R73" t="n">
        <v>0.02888</v>
      </c>
      <c r="S73">
        <f>IMAGE("https://mitra.stanford.edu/kundaje/oak/projects/neuro-variants/variant_position/credible/roussos_2024/variant_figures/roussos_2024.infant.GLU/rs603542_count_position.png",4,220,900)</f>
        <v/>
      </c>
      <c r="T73">
        <f>IMAGE("https://mitra.stanford.edu/kundaje/oak/projects/neuro-variants/variant_position/credible/roussos_2024/variant_figures/roussos_2024.infant.GLU/rs603542_profile_position.png",4,220,900)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0.00445132284</v>
      </c>
      <c r="G74" t="n">
        <v>0.7356109123081709</v>
      </c>
      <c r="H74" t="n">
        <v>0.009401306675069099</v>
      </c>
      <c r="I74" t="n">
        <v>0.7949089396721941</v>
      </c>
      <c r="J74" t="n">
        <v>0.1319804228488282</v>
      </c>
      <c r="K74" t="n">
        <v>0.1661891393905661</v>
      </c>
      <c r="L74" t="b">
        <v>0</v>
      </c>
      <c r="M74" t="b">
        <v>0</v>
      </c>
      <c r="N74" t="inlineStr">
        <is>
          <t>alt</t>
        </is>
      </c>
      <c r="O74" t="n">
        <v>-30</v>
      </c>
      <c r="P74" t="n">
        <v>0.001596</v>
      </c>
      <c r="Q74" t="n">
        <v>100</v>
      </c>
      <c r="R74" t="n">
        <v>0.00641</v>
      </c>
      <c r="S74">
        <f>IMAGE("https://mitra.stanford.edu/kundaje/oak/projects/neuro-variants/variant_position/credible/roussos_2024/variant_figures/roussos_2024.infant.GLU/rs16831024_count_position.png",4,220,900)</f>
        <v/>
      </c>
      <c r="T74">
        <f>IMAGE("https://mitra.stanford.edu/kundaje/oak/projects/neuro-variants/variant_position/credible/roussos_2024/variant_figures/roussos_2024.infant.GLU/rs16831024_profile_position.png",4,220,900)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0.1646946992</v>
      </c>
      <c r="G75" t="n">
        <v>0.0176630488255507</v>
      </c>
      <c r="H75" t="n">
        <v>0.0302782411321306</v>
      </c>
      <c r="I75" t="n">
        <v>0.0564681933932725</v>
      </c>
      <c r="J75" t="n">
        <v>0.4508851606075971</v>
      </c>
      <c r="K75" t="n">
        <v>0.0372217056791639</v>
      </c>
      <c r="L75" t="b">
        <v>1</v>
      </c>
      <c r="M75" t="b">
        <v>0</v>
      </c>
      <c r="N75" t="inlineStr">
        <is>
          <t>alt</t>
        </is>
      </c>
      <c r="O75" t="n">
        <v>60</v>
      </c>
      <c r="P75" t="n">
        <v>0.00412</v>
      </c>
      <c r="Q75" t="n">
        <v>60</v>
      </c>
      <c r="R75" t="n">
        <v>0.10205</v>
      </c>
      <c r="S75">
        <f>IMAGE("https://mitra.stanford.edu/kundaje/oak/projects/neuro-variants/variant_position/credible/roussos_2024/variant_figures/roussos_2024.infant.GLU/rs1143702_count_position.png",4,220,900)</f>
        <v/>
      </c>
      <c r="T75">
        <f>IMAGE("https://mitra.stanford.edu/kundaje/oak/projects/neuro-variants/variant_position/credible/roussos_2024/variant_figures/roussos_2024.infant.GLU/rs1143702_profile_position.png",4,220,900)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-0.00323139432</v>
      </c>
      <c r="G76" t="n">
        <v>0.7769069497327932</v>
      </c>
      <c r="H76" t="n">
        <v>0.0106361787505282</v>
      </c>
      <c r="I76" t="n">
        <v>0.6816782187749152</v>
      </c>
      <c r="J76" t="n">
        <v>0.0048248418175003</v>
      </c>
      <c r="K76" t="n">
        <v>0.7650771329030773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0.01298</v>
      </c>
      <c r="Q76" t="n">
        <v>15</v>
      </c>
      <c r="R76" t="n">
        <v>0.0108</v>
      </c>
      <c r="S76">
        <f>IMAGE("https://mitra.stanford.edu/kundaje/oak/projects/neuro-variants/variant_position/credible/roussos_2024/variant_figures/roussos_2024.infant.GLU/rs11210894_count_position.png",4,220,900)</f>
        <v/>
      </c>
      <c r="T76">
        <f>IMAGE("https://mitra.stanford.edu/kundaje/oak/projects/neuro-variants/variant_position/credible/roussos_2024/variant_figures/roussos_2024.infant.GLU/rs11210894_profile_position.png",4,220,900)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-0.0418218328</v>
      </c>
      <c r="G77" t="n">
        <v>0.2224962702851036</v>
      </c>
      <c r="H77" t="n">
        <v>0.0086442668052655</v>
      </c>
      <c r="I77" t="n">
        <v>0.8641727375989723</v>
      </c>
      <c r="J77" t="n">
        <v>0.0006062743887651</v>
      </c>
      <c r="K77" t="n">
        <v>0.9154226476345698</v>
      </c>
      <c r="L77" t="b">
        <v>0</v>
      </c>
      <c r="M77" t="b">
        <v>0</v>
      </c>
      <c r="N77" t="inlineStr">
        <is>
          <t>ref</t>
        </is>
      </c>
      <c r="O77" t="n">
        <v>80</v>
      </c>
      <c r="P77" t="n">
        <v>0.08495999999999999</v>
      </c>
      <c r="Q77" t="n">
        <v>-95</v>
      </c>
      <c r="R77" t="n">
        <v>0.05225</v>
      </c>
      <c r="S77">
        <f>IMAGE("https://mitra.stanford.edu/kundaje/oak/projects/neuro-variants/variant_position/credible/roussos_2024/variant_figures/roussos_2024.infant.GLU/rs12045413_count_position.png",4,220,900)</f>
        <v/>
      </c>
      <c r="T77">
        <f>IMAGE("https://mitra.stanford.edu/kundaje/oak/projects/neuro-variants/variant_position/credible/roussos_2024/variant_figures/roussos_2024.infant.GLU/rs12045413_profile_position.png",4,220,900)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-0.0009920593000000001</v>
      </c>
      <c r="G78" t="n">
        <v>0.9075063501664108</v>
      </c>
      <c r="H78" t="n">
        <v>0.047382026630721</v>
      </c>
      <c r="I78" t="n">
        <v>0.009759850761587001</v>
      </c>
      <c r="J78" t="n">
        <v>0.0168908044709979</v>
      </c>
      <c r="K78" t="n">
        <v>0.5673953088891602</v>
      </c>
      <c r="L78" t="b">
        <v>1</v>
      </c>
      <c r="M78" t="b">
        <v>0</v>
      </c>
      <c r="N78" t="inlineStr">
        <is>
          <t>ref</t>
        </is>
      </c>
      <c r="O78" t="n">
        <v>60</v>
      </c>
      <c r="P78" t="n">
        <v>0.1155</v>
      </c>
      <c r="Q78" t="n">
        <v>90</v>
      </c>
      <c r="R78" t="n">
        <v>0.1451</v>
      </c>
      <c r="S78">
        <f>IMAGE("https://mitra.stanford.edu/kundaje/oak/projects/neuro-variants/variant_position/credible/roussos_2024/variant_figures/roussos_2024.infant.GLU/rs12041746_count_position.png",4,220,900)</f>
        <v/>
      </c>
      <c r="T78">
        <f>IMAGE("https://mitra.stanford.edu/kundaje/oak/projects/neuro-variants/variant_position/credible/roussos_2024/variant_figures/roussos_2024.infant.GLU/rs12041746_profile_position.png",4,220,900)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-0.0216938</v>
      </c>
      <c r="G79" t="n">
        <v>0.2469846510365759</v>
      </c>
      <c r="H79" t="n">
        <v>0.0109981687361961</v>
      </c>
      <c r="I79" t="n">
        <v>0.6343975124957824</v>
      </c>
      <c r="J79" t="n">
        <v>0.7078099164443661</v>
      </c>
      <c r="K79" t="n">
        <v>0.0135918145582338</v>
      </c>
      <c r="L79" t="b">
        <v>0</v>
      </c>
      <c r="M79" t="b">
        <v>0</v>
      </c>
      <c r="N79" t="inlineStr">
        <is>
          <t>ref</t>
        </is>
      </c>
      <c r="O79" t="n">
        <v>-100</v>
      </c>
      <c r="P79" t="n">
        <v>0.02008</v>
      </c>
      <c r="Q79" t="n">
        <v>90</v>
      </c>
      <c r="R79" t="n">
        <v>0.1354</v>
      </c>
      <c r="S79">
        <f>IMAGE("https://mitra.stanford.edu/kundaje/oak/projects/neuro-variants/variant_position/credible/roussos_2024/variant_figures/roussos_2024.infant.GLU/rs34550543_count_position.png",4,220,900)</f>
        <v/>
      </c>
      <c r="T79">
        <f>IMAGE("https://mitra.stanford.edu/kundaje/oak/projects/neuro-variants/variant_position/credible/roussos_2024/variant_figures/roussos_2024.infant.GLU/rs34550543_profile_position.png",4,220,900)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0.118711495</v>
      </c>
      <c r="G80" t="n">
        <v>0.0373500050538013</v>
      </c>
      <c r="H80" t="n">
        <v>0.028512389247856</v>
      </c>
      <c r="I80" t="n">
        <v>0.0680444994314985</v>
      </c>
      <c r="J80" t="n">
        <v>0.366977887519566</v>
      </c>
      <c r="K80" t="n">
        <v>0.0512363302299322</v>
      </c>
      <c r="L80" t="b">
        <v>0</v>
      </c>
      <c r="M80" t="b">
        <v>0</v>
      </c>
      <c r="N80" t="inlineStr">
        <is>
          <t>alt</t>
        </is>
      </c>
      <c r="O80" t="n">
        <v>-30</v>
      </c>
      <c r="P80" t="n">
        <v>0.00116</v>
      </c>
      <c r="Q80" t="n">
        <v>65</v>
      </c>
      <c r="R80" t="n">
        <v>0.04053</v>
      </c>
      <c r="S80">
        <f>IMAGE("https://mitra.stanford.edu/kundaje/oak/projects/neuro-variants/variant_position/credible/roussos_2024/variant_figures/roussos_2024.infant.GLU/rs56352978_count_position.png",4,220,900)</f>
        <v/>
      </c>
      <c r="T80">
        <f>IMAGE("https://mitra.stanford.edu/kundaje/oak/projects/neuro-variants/variant_position/credible/roussos_2024/variant_figures/roussos_2024.infant.GLU/rs56352978_profile_position.png",4,220,900)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0.0221081648</v>
      </c>
      <c r="G81" t="n">
        <v>0.4022243887716321</v>
      </c>
      <c r="H81" t="n">
        <v>0.0289832416571646</v>
      </c>
      <c r="I81" t="n">
        <v>0.06494141623308371</v>
      </c>
      <c r="J81" t="n">
        <v>0.0158458078881809</v>
      </c>
      <c r="K81" t="n">
        <v>0.5865219319233745</v>
      </c>
      <c r="L81" t="b">
        <v>0</v>
      </c>
      <c r="M81" t="b">
        <v>0</v>
      </c>
      <c r="N81" t="inlineStr">
        <is>
          <t>alt</t>
        </is>
      </c>
      <c r="O81" t="n">
        <v>100</v>
      </c>
      <c r="P81" t="n">
        <v>0.181</v>
      </c>
      <c r="Q81" t="n">
        <v>100</v>
      </c>
      <c r="R81" t="n">
        <v>0.06122</v>
      </c>
      <c r="S81">
        <f>IMAGE("https://mitra.stanford.edu/kundaje/oak/projects/neuro-variants/variant_position/credible/roussos_2024/variant_figures/roussos_2024.infant.GLU/rs11590088_count_position.png",4,220,900)</f>
        <v/>
      </c>
      <c r="T81">
        <f>IMAGE("https://mitra.stanford.edu/kundaje/oak/projects/neuro-variants/variant_position/credible/roussos_2024/variant_figures/roussos_2024.infant.GLU/rs11590088_profile_position.png",4,220,900)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-0.335084086</v>
      </c>
      <c r="G82" t="n">
        <v>0.002116525826095</v>
      </c>
      <c r="H82" t="n">
        <v>0.0332546477155892</v>
      </c>
      <c r="I82" t="n">
        <v>0.04110010507012</v>
      </c>
      <c r="J82" t="n">
        <v>0.3231100773826583</v>
      </c>
      <c r="K82" t="n">
        <v>0.0614819093885248</v>
      </c>
      <c r="L82" t="b">
        <v>1</v>
      </c>
      <c r="M82" t="b">
        <v>1</v>
      </c>
      <c r="N82" t="inlineStr">
        <is>
          <t>ref</t>
        </is>
      </c>
      <c r="O82" t="n">
        <v>-70</v>
      </c>
      <c r="P82" t="n">
        <v>0.00818</v>
      </c>
      <c r="Q82" t="n">
        <v>20</v>
      </c>
      <c r="R82" t="n">
        <v>0.03223</v>
      </c>
      <c r="S82">
        <f>IMAGE("https://mitra.stanford.edu/kundaje/oak/projects/neuro-variants/variant_position/credible/roussos_2024/variant_figures/roussos_2024.infant.GLU/rs3957_count_position.png",4,220,900)</f>
        <v/>
      </c>
      <c r="T82">
        <f>IMAGE("https://mitra.stanford.edu/kundaje/oak/projects/neuro-variants/variant_position/credible/roussos_2024/variant_figures/roussos_2024.infant.GLU/rs3957_profile_position.png",4,220,900)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-0.01115346472</v>
      </c>
      <c r="G83" t="n">
        <v>0.6156994622884483</v>
      </c>
      <c r="H83" t="n">
        <v>0.029003348847718</v>
      </c>
      <c r="I83" t="n">
        <v>0.064242784915522</v>
      </c>
      <c r="J83" t="n">
        <v>0.0063923366917259</v>
      </c>
      <c r="K83" t="n">
        <v>0.7236529467658532</v>
      </c>
      <c r="L83" t="b">
        <v>0</v>
      </c>
      <c r="M83" t="b">
        <v>0</v>
      </c>
      <c r="N83" t="inlineStr">
        <is>
          <t>ref</t>
        </is>
      </c>
      <c r="O83" t="n">
        <v>95</v>
      </c>
      <c r="P83" t="n">
        <v>0.02481</v>
      </c>
      <c r="Q83" t="n">
        <v>90</v>
      </c>
      <c r="R83" t="n">
        <v>0.254</v>
      </c>
      <c r="S83">
        <f>IMAGE("https://mitra.stanford.edu/kundaje/oak/projects/neuro-variants/variant_position/credible/roussos_2024/variant_figures/roussos_2024.infant.GLU/rs1167295_count_position.png",4,220,900)</f>
        <v/>
      </c>
      <c r="T83">
        <f>IMAGE("https://mitra.stanford.edu/kundaje/oak/projects/neuro-variants/variant_position/credible/roussos_2024/variant_figures/roussos_2024.infant.GLU/rs1167295_profile_position.png",4,220,900)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0.0236493003999999</v>
      </c>
      <c r="G84" t="n">
        <v>0.3850593500054489</v>
      </c>
      <c r="H84" t="n">
        <v>0.0365506003942373</v>
      </c>
      <c r="I84" t="n">
        <v>0.0287618878260978</v>
      </c>
      <c r="J84" t="n">
        <v>0.0058169271809342</v>
      </c>
      <c r="K84" t="n">
        <v>0.7426901101814469</v>
      </c>
      <c r="L84" t="b">
        <v>0</v>
      </c>
      <c r="M84" t="b">
        <v>0</v>
      </c>
      <c r="N84" t="inlineStr">
        <is>
          <t>alt</t>
        </is>
      </c>
      <c r="O84" t="n">
        <v>-55</v>
      </c>
      <c r="P84" t="n">
        <v>0.002258</v>
      </c>
      <c r="Q84" t="n">
        <v>-90</v>
      </c>
      <c r="R84" t="n">
        <v>0.05417</v>
      </c>
      <c r="S84">
        <f>IMAGE("https://mitra.stanford.edu/kundaje/oak/projects/neuro-variants/variant_position/credible/roussos_2024/variant_figures/roussos_2024.infant.GLU/rs1167294_count_position.png",4,220,900)</f>
        <v/>
      </c>
      <c r="T84">
        <f>IMAGE("https://mitra.stanford.edu/kundaje/oak/projects/neuro-variants/variant_position/credible/roussos_2024/variant_figures/roussos_2024.infant.GLU/rs1167294_profile_position.png",4,220,900)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0.06948521019999999</v>
      </c>
      <c r="G85" t="n">
        <v>0.103481876914092</v>
      </c>
      <c r="H85" t="n">
        <v>0.0111600578183917</v>
      </c>
      <c r="I85" t="n">
        <v>0.5797317424025722</v>
      </c>
      <c r="J85" t="n">
        <v>0.0926199872131219</v>
      </c>
      <c r="K85" t="n">
        <v>0.2302196895592757</v>
      </c>
      <c r="L85" t="b">
        <v>0</v>
      </c>
      <c r="M85" t="b">
        <v>0</v>
      </c>
      <c r="N85" t="inlineStr">
        <is>
          <t>alt</t>
        </is>
      </c>
      <c r="O85" t="n">
        <v>-100</v>
      </c>
      <c r="P85" t="n">
        <v>0.00954</v>
      </c>
      <c r="Q85" t="n">
        <v>-55</v>
      </c>
      <c r="R85" t="n">
        <v>0.0354</v>
      </c>
      <c r="S85">
        <f>IMAGE("https://mitra.stanford.edu/kundaje/oak/projects/neuro-variants/variant_position/credible/roussos_2024/variant_figures/roussos_2024.infant.GLU/rs1405913_count_position.png",4,220,900)</f>
        <v/>
      </c>
      <c r="T85">
        <f>IMAGE("https://mitra.stanford.edu/kundaje/oak/projects/neuro-variants/variant_position/credible/roussos_2024/variant_figures/roussos_2024.infant.GLU/rs1405913_profile_position.png",4,220,900)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-0.0127191425</v>
      </c>
      <c r="G86" t="n">
        <v>0.6060076620716778</v>
      </c>
      <c r="H86" t="n">
        <v>0.0079558454200591</v>
      </c>
      <c r="I86" t="n">
        <v>0.9021140462433352</v>
      </c>
      <c r="J86" t="n">
        <v>0.015530545206023</v>
      </c>
      <c r="K86" t="n">
        <v>0.5824258766221153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0.3293</v>
      </c>
      <c r="Q86" t="n">
        <v>85</v>
      </c>
      <c r="R86" t="n">
        <v>0.05627</v>
      </c>
      <c r="S86">
        <f>IMAGE("https://mitra.stanford.edu/kundaje/oak/projects/neuro-variants/variant_position/credible/roussos_2024/variant_figures/roussos_2024.infant.GLU/rs1305494_count_position.png",4,220,900)</f>
        <v/>
      </c>
      <c r="T86">
        <f>IMAGE("https://mitra.stanford.edu/kundaje/oak/projects/neuro-variants/variant_position/credible/roussos_2024/variant_figures/roussos_2024.infant.GLU/rs1305494_profile_position.png",4,220,900)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-0.0433504231999999</v>
      </c>
      <c r="G87" t="n">
        <v>0.2072959615529257</v>
      </c>
      <c r="H87" t="n">
        <v>0.0110520057290465</v>
      </c>
      <c r="I87" t="n">
        <v>0.642978094886872</v>
      </c>
      <c r="J87" t="n">
        <v>0.1106428713155051</v>
      </c>
      <c r="K87" t="n">
        <v>0.2036065388409757</v>
      </c>
      <c r="L87" t="b">
        <v>0</v>
      </c>
      <c r="M87" t="b">
        <v>0</v>
      </c>
      <c r="N87" t="inlineStr">
        <is>
          <t>ref</t>
        </is>
      </c>
      <c r="O87" t="n">
        <v>-100</v>
      </c>
      <c r="P87" t="n">
        <v>0.002579</v>
      </c>
      <c r="Q87" t="n">
        <v>95</v>
      </c>
      <c r="R87" t="n">
        <v>0.1335</v>
      </c>
      <c r="S87">
        <f>IMAGE("https://mitra.stanford.edu/kundaje/oak/projects/neuro-variants/variant_position/credible/roussos_2024/variant_figures/roussos_2024.infant.GLU/rs11205633_count_position.png",4,220,900)</f>
        <v/>
      </c>
      <c r="T87">
        <f>IMAGE("https://mitra.stanford.edu/kundaje/oak/projects/neuro-variants/variant_position/credible/roussos_2024/variant_figures/roussos_2024.infant.GLU/rs11205633_profile_position.png",4,220,900)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0.077282774</v>
      </c>
      <c r="G88" t="n">
        <v>0.09195518958048619</v>
      </c>
      <c r="H88" t="n">
        <v>0.0145799167770512</v>
      </c>
      <c r="I88" t="n">
        <v>0.3809663279063268</v>
      </c>
      <c r="J88" t="n">
        <v>0.0180052470292554</v>
      </c>
      <c r="K88" t="n">
        <v>0.5591432759333385</v>
      </c>
      <c r="L88" t="b">
        <v>0</v>
      </c>
      <c r="M88" t="b">
        <v>0</v>
      </c>
      <c r="N88" t="inlineStr">
        <is>
          <t>alt</t>
        </is>
      </c>
      <c r="O88" t="n">
        <v>-90</v>
      </c>
      <c r="P88" t="n">
        <v>0.01337</v>
      </c>
      <c r="Q88" t="n">
        <v>85</v>
      </c>
      <c r="R88" t="n">
        <v>0.05377</v>
      </c>
      <c r="S88">
        <f>IMAGE("https://mitra.stanford.edu/kundaje/oak/projects/neuro-variants/variant_position/credible/roussos_2024/variant_figures/roussos_2024.infant.GLU/rs6684606_count_position.png",4,220,900)</f>
        <v/>
      </c>
      <c r="T88">
        <f>IMAGE("https://mitra.stanford.edu/kundaje/oak/projects/neuro-variants/variant_position/credible/roussos_2024/variant_figures/roussos_2024.infant.GLU/rs6684606_profile_position.png",4,220,900)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-0.263839028</v>
      </c>
      <c r="G89" t="n">
        <v>0.0051192395915398</v>
      </c>
      <c r="H89" t="n">
        <v>0.0509230778422615</v>
      </c>
      <c r="I89" t="n">
        <v>0.0073210328540976</v>
      </c>
      <c r="J89" t="n">
        <v>0.0963777861063955</v>
      </c>
      <c r="K89" t="n">
        <v>0.2111237485513691</v>
      </c>
      <c r="L89" t="b">
        <v>1</v>
      </c>
      <c r="M89" t="b">
        <v>1</v>
      </c>
      <c r="N89" t="inlineStr">
        <is>
          <t>ref</t>
        </is>
      </c>
      <c r="O89" t="n">
        <v>-100</v>
      </c>
      <c r="P89" t="n">
        <v>0.03253</v>
      </c>
      <c r="Q89" t="n">
        <v>10</v>
      </c>
      <c r="R89" t="n">
        <v>0.001709</v>
      </c>
      <c r="S89">
        <f>IMAGE("https://mitra.stanford.edu/kundaje/oak/projects/neuro-variants/variant_position/credible/roussos_2024/variant_figures/roussos_2024.infant.GLU/rs6588355_count_position.png",4,220,900)</f>
        <v/>
      </c>
      <c r="T89">
        <f>IMAGE("https://mitra.stanford.edu/kundaje/oak/projects/neuro-variants/variant_position/credible/roussos_2024/variant_figures/roussos_2024.infant.GLU/rs6588355_profile_position.png",4,220,900)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0.08170619899999999</v>
      </c>
      <c r="G90" t="n">
        <v>0.0716787146693187</v>
      </c>
      <c r="H90" t="n">
        <v>0.0125279957310122</v>
      </c>
      <c r="I90" t="n">
        <v>0.514703867054961</v>
      </c>
      <c r="J90" t="n">
        <v>0.0119259683855464</v>
      </c>
      <c r="K90" t="n">
        <v>0.6314667161001116</v>
      </c>
      <c r="L90" t="b">
        <v>0</v>
      </c>
      <c r="M90" t="b">
        <v>0</v>
      </c>
      <c r="N90" t="inlineStr">
        <is>
          <t>alt</t>
        </is>
      </c>
      <c r="O90" t="n">
        <v>95</v>
      </c>
      <c r="P90" t="n">
        <v>0.01455</v>
      </c>
      <c r="Q90" t="n">
        <v>-55</v>
      </c>
      <c r="R90" t="n">
        <v>0.04623</v>
      </c>
      <c r="S90">
        <f>IMAGE("https://mitra.stanford.edu/kundaje/oak/projects/neuro-variants/variant_position/credible/roussos_2024/variant_figures/roussos_2024.infant.GLU/rs6660689_count_position.png",4,220,900)</f>
        <v/>
      </c>
      <c r="T90">
        <f>IMAGE("https://mitra.stanford.edu/kundaje/oak/projects/neuro-variants/variant_position/credible/roussos_2024/variant_figures/roussos_2024.infant.GLU/rs6660689_profile_position.png",4,220,900)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0.0116232154</v>
      </c>
      <c r="G91" t="n">
        <v>0.361668490946059</v>
      </c>
      <c r="H91" t="n">
        <v>0.0167748717828202</v>
      </c>
      <c r="I91" t="n">
        <v>0.289529478754703</v>
      </c>
      <c r="J91" t="n">
        <v>0.0187195484909278</v>
      </c>
      <c r="K91" t="n">
        <v>0.5608809912664839</v>
      </c>
      <c r="L91" t="b">
        <v>0</v>
      </c>
      <c r="M91" t="b">
        <v>0</v>
      </c>
      <c r="N91" t="inlineStr">
        <is>
          <t>alt</t>
        </is>
      </c>
      <c r="O91" t="n">
        <v>-35</v>
      </c>
      <c r="P91" t="n">
        <v>0.02864</v>
      </c>
      <c r="Q91" t="n">
        <v>-100</v>
      </c>
      <c r="R91" t="n">
        <v>0.2035</v>
      </c>
      <c r="S91">
        <f>IMAGE("https://mitra.stanford.edu/kundaje/oak/projects/neuro-variants/variant_position/credible/roussos_2024/variant_figures/roussos_2024.infant.GLU/rs12137221_count_position.png",4,220,900)</f>
        <v/>
      </c>
      <c r="T91">
        <f>IMAGE("https://mitra.stanford.edu/kundaje/oak/projects/neuro-variants/variant_position/credible/roussos_2024/variant_figures/roussos_2024.infant.GLU/rs12137221_profile_position.png",4,220,900)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0.192449664</v>
      </c>
      <c r="G92" t="n">
        <v>0.0117155965700272</v>
      </c>
      <c r="H92" t="n">
        <v>0.0352214238735735</v>
      </c>
      <c r="I92" t="n">
        <v>0.0334626868075395</v>
      </c>
      <c r="J92" t="n">
        <v>0.08928768270905429</v>
      </c>
      <c r="K92" t="n">
        <v>0.237422964938042</v>
      </c>
      <c r="L92" t="b">
        <v>1</v>
      </c>
      <c r="M92" t="b">
        <v>0</v>
      </c>
      <c r="N92" t="inlineStr">
        <is>
          <t>alt</t>
        </is>
      </c>
      <c r="O92" t="n">
        <v>-100</v>
      </c>
      <c r="P92" t="n">
        <v>0.00473</v>
      </c>
      <c r="Q92" t="n">
        <v>80</v>
      </c>
      <c r="R92" t="n">
        <v>0.04236</v>
      </c>
      <c r="S92">
        <f>IMAGE("https://mitra.stanford.edu/kundaje/oak/projects/neuro-variants/variant_position/credible/roussos_2024/variant_figures/roussos_2024.infant.GLU/rs4926540_count_position.png",4,220,900)</f>
        <v/>
      </c>
      <c r="T92">
        <f>IMAGE("https://mitra.stanford.edu/kundaje/oak/projects/neuro-variants/variant_position/credible/roussos_2024/variant_figures/roussos_2024.infant.GLU/rs4926540_profile_position.png",4,220,900)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-0.055717953</v>
      </c>
      <c r="G93" t="n">
        <v>0.1508861427963385</v>
      </c>
      <c r="H93" t="n">
        <v>0.0113478060376068</v>
      </c>
      <c r="I93" t="n">
        <v>0.5990764232831345</v>
      </c>
      <c r="J93" t="n">
        <v>0.0116944818007451</v>
      </c>
      <c r="K93" t="n">
        <v>0.6357313402595848</v>
      </c>
      <c r="L93" t="b">
        <v>0</v>
      </c>
      <c r="M93" t="b">
        <v>0</v>
      </c>
      <c r="N93" t="inlineStr">
        <is>
          <t>ref</t>
        </is>
      </c>
      <c r="O93" t="n">
        <v>-95</v>
      </c>
      <c r="P93" t="n">
        <v>0.01834</v>
      </c>
      <c r="Q93" t="n">
        <v>-100</v>
      </c>
      <c r="R93" t="n">
        <v>0.03833</v>
      </c>
      <c r="S93">
        <f>IMAGE("https://mitra.stanford.edu/kundaje/oak/projects/neuro-variants/variant_position/credible/roussos_2024/variant_figures/roussos_2024.infant.GLU/rs68007327_count_position.png",4,220,900)</f>
        <v/>
      </c>
      <c r="T93">
        <f>IMAGE("https://mitra.stanford.edu/kundaje/oak/projects/neuro-variants/variant_position/credible/roussos_2024/variant_figures/roussos_2024.infant.GLU/rs68007327_profile_position.png",4,220,900)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-0.0464049372</v>
      </c>
      <c r="G94" t="n">
        <v>0.2072028497354586</v>
      </c>
      <c r="H94" t="n">
        <v>0.0117979889190133</v>
      </c>
      <c r="I94" t="n">
        <v>0.5770719391816339</v>
      </c>
      <c r="J94" t="n">
        <v>0.0231519654313366</v>
      </c>
      <c r="K94" t="n">
        <v>0.5051044225134257</v>
      </c>
      <c r="L94" t="b">
        <v>0</v>
      </c>
      <c r="M94" t="b">
        <v>0</v>
      </c>
      <c r="N94" t="inlineStr">
        <is>
          <t>ref</t>
        </is>
      </c>
      <c r="O94" t="n">
        <v>100</v>
      </c>
      <c r="P94" t="n">
        <v>0.014565</v>
      </c>
      <c r="Q94" t="n">
        <v>15</v>
      </c>
      <c r="R94" t="n">
        <v>0.001587</v>
      </c>
      <c r="S94">
        <f>IMAGE("https://mitra.stanford.edu/kundaje/oak/projects/neuro-variants/variant_position/credible/roussos_2024/variant_figures/roussos_2024.infant.GLU/rs987335_count_position.png",4,220,900)</f>
        <v/>
      </c>
      <c r="T94">
        <f>IMAGE("https://mitra.stanford.edu/kundaje/oak/projects/neuro-variants/variant_position/credible/roussos_2024/variant_figures/roussos_2024.infant.GLU/rs987335_profile_position.png",4,220,900)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0.0281829816</v>
      </c>
      <c r="G95" t="n">
        <v>0.3301941348907623</v>
      </c>
      <c r="H95" t="n">
        <v>0.0463016231564921</v>
      </c>
      <c r="I95" t="n">
        <v>0.0108202309741242</v>
      </c>
      <c r="J95" t="n">
        <v>0.001447342313543</v>
      </c>
      <c r="K95" t="n">
        <v>0.8693899393280323</v>
      </c>
      <c r="L95" t="b">
        <v>0</v>
      </c>
      <c r="M95" t="b">
        <v>0</v>
      </c>
      <c r="N95" t="inlineStr">
        <is>
          <t>alt</t>
        </is>
      </c>
      <c r="O95" t="n">
        <v>95</v>
      </c>
      <c r="P95" t="n">
        <v>0.013</v>
      </c>
      <c r="Q95" t="n">
        <v>-80</v>
      </c>
      <c r="R95" t="n">
        <v>0.06097</v>
      </c>
      <c r="S95">
        <f>IMAGE("https://mitra.stanford.edu/kundaje/oak/projects/neuro-variants/variant_position/credible/roussos_2024/variant_figures/roussos_2024.infant.GLU/rs11207639_count_position.png",4,220,900)</f>
        <v/>
      </c>
      <c r="T95">
        <f>IMAGE("https://mitra.stanford.edu/kundaje/oak/projects/neuro-variants/variant_position/credible/roussos_2024/variant_figures/roussos_2024.infant.GLU/rs11207639_profile_position.png",4,220,900)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0.082219048</v>
      </c>
      <c r="G96" t="n">
        <v>0.0735112349146978</v>
      </c>
      <c r="H96" t="n">
        <v>0.0342877212174682</v>
      </c>
      <c r="I96" t="n">
        <v>0.0364770382544295</v>
      </c>
      <c r="J96" t="n">
        <v>0.0196995083665864</v>
      </c>
      <c r="K96" t="n">
        <v>0.5423745086035948</v>
      </c>
      <c r="L96" t="b">
        <v>0</v>
      </c>
      <c r="M96" t="b">
        <v>0</v>
      </c>
      <c r="N96" t="inlineStr">
        <is>
          <t>alt</t>
        </is>
      </c>
      <c r="O96" t="n">
        <v>25</v>
      </c>
      <c r="P96" t="n">
        <v>0.01743</v>
      </c>
      <c r="Q96" t="n">
        <v>55</v>
      </c>
      <c r="R96" t="n">
        <v>0.02931</v>
      </c>
      <c r="S96">
        <f>IMAGE("https://mitra.stanford.edu/kundaje/oak/projects/neuro-variants/variant_position/credible/roussos_2024/variant_figures/roussos_2024.infant.GLU/rs484743_count_position.png",4,220,900)</f>
        <v/>
      </c>
      <c r="T96">
        <f>IMAGE("https://mitra.stanford.edu/kundaje/oak/projects/neuro-variants/variant_position/credible/roussos_2024/variant_figures/roussos_2024.infant.GLU/rs484743_profile_position.png",4,220,900)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0.07457188499999989</v>
      </c>
      <c r="G97" t="n">
        <v>0.09066852173051609</v>
      </c>
      <c r="H97" t="n">
        <v>0.0437001646357659</v>
      </c>
      <c r="I97" t="n">
        <v>0.0140101201730939</v>
      </c>
      <c r="J97" t="n">
        <v>0.3591106505875349</v>
      </c>
      <c r="K97" t="n">
        <v>0.0527971069208064</v>
      </c>
      <c r="L97" t="b">
        <v>1</v>
      </c>
      <c r="M97" t="b">
        <v>0</v>
      </c>
      <c r="N97" t="inlineStr">
        <is>
          <t>alt</t>
        </is>
      </c>
      <c r="O97" t="n">
        <v>15</v>
      </c>
      <c r="P97" t="n">
        <v>0.002655</v>
      </c>
      <c r="Q97" t="n">
        <v>0</v>
      </c>
      <c r="R97" t="n">
        <v>0</v>
      </c>
      <c r="S97">
        <f>IMAGE("https://mitra.stanford.edu/kundaje/oak/projects/neuro-variants/variant_position/credible/roussos_2024/variant_figures/roussos_2024.infant.GLU/rs10218679_count_position.png",4,220,900)</f>
        <v/>
      </c>
      <c r="T97">
        <f>IMAGE("https://mitra.stanford.edu/kundaje/oak/projects/neuro-variants/variant_position/credible/roussos_2024/variant_figures/roussos_2024.infant.GLU/rs10218679_profile_position.png",4,220,900)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-0.08639873299999989</v>
      </c>
      <c r="G98" t="n">
        <v>0.0749155121051107</v>
      </c>
      <c r="H98" t="n">
        <v>0.0440918565577043</v>
      </c>
      <c r="I98" t="n">
        <v>0.0134695702267862</v>
      </c>
      <c r="J98" t="n">
        <v>0.1739478383562247</v>
      </c>
      <c r="K98" t="n">
        <v>0.1296174944499609</v>
      </c>
      <c r="L98" t="b">
        <v>1</v>
      </c>
      <c r="M98" t="b">
        <v>0</v>
      </c>
      <c r="N98" t="inlineStr">
        <is>
          <t>ref</t>
        </is>
      </c>
      <c r="O98" t="n">
        <v>-65</v>
      </c>
      <c r="P98" t="n">
        <v>0.00116</v>
      </c>
      <c r="Q98" t="n">
        <v>-80</v>
      </c>
      <c r="R98" t="n">
        <v>0.1532</v>
      </c>
      <c r="S98">
        <f>IMAGE("https://mitra.stanford.edu/kundaje/oak/projects/neuro-variants/variant_position/credible/roussos_2024/variant_figures/roussos_2024.infant.GLU/rs2987774_count_position.png",4,220,900)</f>
        <v/>
      </c>
      <c r="T98">
        <f>IMAGE("https://mitra.stanford.edu/kundaje/oak/projects/neuro-variants/variant_position/credible/roussos_2024/variant_figures/roussos_2024.infant.GLU/rs2987774_profile_position.png",4,220,900)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-0.0196380462</v>
      </c>
      <c r="G99" t="n">
        <v>0.4574416029810094</v>
      </c>
      <c r="H99" t="n">
        <v>0.0628273785492206</v>
      </c>
      <c r="I99" t="n">
        <v>0.0024089368369242</v>
      </c>
      <c r="J99" t="n">
        <v>0.439339491611367</v>
      </c>
      <c r="K99" t="n">
        <v>0.038901460003767</v>
      </c>
      <c r="L99" t="b">
        <v>1</v>
      </c>
      <c r="M99" t="b">
        <v>1</v>
      </c>
      <c r="N99" t="inlineStr">
        <is>
          <t>ref</t>
        </is>
      </c>
      <c r="O99" t="n">
        <v>-95</v>
      </c>
      <c r="P99" t="n">
        <v>0.05664</v>
      </c>
      <c r="Q99" t="n">
        <v>60</v>
      </c>
      <c r="R99" t="n">
        <v>0.06759999999999999</v>
      </c>
      <c r="S99">
        <f>IMAGE("https://mitra.stanford.edu/kundaje/oak/projects/neuro-variants/variant_position/credible/roussos_2024/variant_figures/roussos_2024.infant.GLU/rs494011_count_position.png",4,220,900)</f>
        <v/>
      </c>
      <c r="T99">
        <f>IMAGE("https://mitra.stanford.edu/kundaje/oak/projects/neuro-variants/variant_position/credible/roussos_2024/variant_figures/roussos_2024.infant.GLU/rs494011_profile_position.png",4,220,900)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0.0792646818</v>
      </c>
      <c r="G100" t="n">
        <v>0.07621585824181649</v>
      </c>
      <c r="H100" t="n">
        <v>0.014598174488672</v>
      </c>
      <c r="I100" t="n">
        <v>0.3819837757816346</v>
      </c>
      <c r="J100" t="n">
        <v>0.2446581714764434</v>
      </c>
      <c r="K100" t="n">
        <v>0.0903272812850488</v>
      </c>
      <c r="L100" t="b">
        <v>0</v>
      </c>
      <c r="M100" t="b">
        <v>0</v>
      </c>
      <c r="N100" t="inlineStr">
        <is>
          <t>alt</t>
        </is>
      </c>
      <c r="O100" t="n">
        <v>-95</v>
      </c>
      <c r="P100" t="n">
        <v>0.01848</v>
      </c>
      <c r="Q100" t="n">
        <v>55</v>
      </c>
      <c r="R100" t="n">
        <v>0.1514</v>
      </c>
      <c r="S100">
        <f>IMAGE("https://mitra.stanford.edu/kundaje/oak/projects/neuro-variants/variant_position/credible/roussos_2024/variant_figures/roussos_2024.infant.GLU/rs554774_count_position.png",4,220,900)</f>
        <v/>
      </c>
      <c r="T100">
        <f>IMAGE("https://mitra.stanford.edu/kundaje/oak/projects/neuro-variants/variant_position/credible/roussos_2024/variant_figures/roussos_2024.infant.GLU/rs554774_profile_position.png",4,220,900)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-0.10183178</v>
      </c>
      <c r="G101" t="n">
        <v>0.0533923178233178</v>
      </c>
      <c r="H101" t="n">
        <v>0.0217315789940721</v>
      </c>
      <c r="I101" t="n">
        <v>0.1541082267565781</v>
      </c>
      <c r="J101" t="n">
        <v>0.2654831455719923</v>
      </c>
      <c r="K101" t="n">
        <v>0.0815303949809838</v>
      </c>
      <c r="L101" t="b">
        <v>0</v>
      </c>
      <c r="M101" t="b">
        <v>0</v>
      </c>
      <c r="N101" t="inlineStr">
        <is>
          <t>ref</t>
        </is>
      </c>
      <c r="O101" t="n">
        <v>100</v>
      </c>
      <c r="P101" t="n">
        <v>0.01402</v>
      </c>
      <c r="Q101" t="n">
        <v>-50</v>
      </c>
      <c r="R101" t="n">
        <v>0.10034</v>
      </c>
      <c r="S101">
        <f>IMAGE("https://mitra.stanford.edu/kundaje/oak/projects/neuro-variants/variant_position/credible/roussos_2024/variant_figures/roussos_2024.infant.GLU/rs489543_count_position.png",4,220,900)</f>
        <v/>
      </c>
      <c r="T101">
        <f>IMAGE("https://mitra.stanford.edu/kundaje/oak/projects/neuro-variants/variant_position/credible/roussos_2024/variant_figures/roussos_2024.infant.GLU/rs489543_profile_position.png",4,220,900)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-0.159528434</v>
      </c>
      <c r="G102" t="n">
        <v>0.0184598320322456</v>
      </c>
      <c r="H102" t="n">
        <v>0.0498602410002597</v>
      </c>
      <c r="I102" t="n">
        <v>0.007699052911214</v>
      </c>
      <c r="J102" t="n">
        <v>0.2373972089331775</v>
      </c>
      <c r="K102" t="n">
        <v>0.0920614800254009</v>
      </c>
      <c r="L102" t="b">
        <v>1</v>
      </c>
      <c r="M102" t="b">
        <v>1</v>
      </c>
      <c r="N102" t="inlineStr">
        <is>
          <t>ref</t>
        </is>
      </c>
      <c r="O102" t="n">
        <v>60</v>
      </c>
      <c r="P102" t="n">
        <v>0.01581</v>
      </c>
      <c r="Q102" t="n">
        <v>25</v>
      </c>
      <c r="R102" t="n">
        <v>0.03687</v>
      </c>
      <c r="S102">
        <f>IMAGE("https://mitra.stanford.edu/kundaje/oak/projects/neuro-variants/variant_position/credible/roussos_2024/variant_figures/roussos_2024.infant.GLU/rs471660_count_position.png",4,220,900)</f>
        <v/>
      </c>
      <c r="T102">
        <f>IMAGE("https://mitra.stanford.edu/kundaje/oak/projects/neuro-variants/variant_position/credible/roussos_2024/variant_figures/roussos_2024.infant.GLU/rs471660_profile_position.png",4,220,900)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-0.177012232</v>
      </c>
      <c r="G103" t="n">
        <v>0.0149939138977173</v>
      </c>
      <c r="H103" t="n">
        <v>0.0545098492354431</v>
      </c>
      <c r="I103" t="n">
        <v>0.0052528402609396</v>
      </c>
      <c r="J103" t="n">
        <v>0.163895808990498</v>
      </c>
      <c r="K103" t="n">
        <v>0.1319070804533832</v>
      </c>
      <c r="L103" t="b">
        <v>1</v>
      </c>
      <c r="M103" t="b">
        <v>1</v>
      </c>
      <c r="N103" t="inlineStr">
        <is>
          <t>ref</t>
        </is>
      </c>
      <c r="O103" t="n">
        <v>95</v>
      </c>
      <c r="P103" t="n">
        <v>0.03186</v>
      </c>
      <c r="Q103" t="n">
        <v>90</v>
      </c>
      <c r="R103" t="n">
        <v>0.2158</v>
      </c>
      <c r="S103">
        <f>IMAGE("https://mitra.stanford.edu/kundaje/oak/projects/neuro-variants/variant_position/credible/roussos_2024/variant_figures/roussos_2024.infant.GLU/rs4077431_count_position.png",4,220,900)</f>
        <v/>
      </c>
      <c r="T103">
        <f>IMAGE("https://mitra.stanford.edu/kundaje/oak/projects/neuro-variants/variant_position/credible/roussos_2024/variant_figures/roussos_2024.infant.GLU/rs4077431_profile_position.png",4,220,900)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-0.0519325888</v>
      </c>
      <c r="G104" t="n">
        <v>0.1619434223007344</v>
      </c>
      <c r="H104" t="n">
        <v>0.021469302047324</v>
      </c>
      <c r="I104" t="n">
        <v>0.1554831459734313</v>
      </c>
      <c r="J104" t="n">
        <v>0.0025783196278577</v>
      </c>
      <c r="K104" t="n">
        <v>0.8486223626602963</v>
      </c>
      <c r="L104" t="b">
        <v>0</v>
      </c>
      <c r="M104" t="b">
        <v>0</v>
      </c>
      <c r="N104" t="inlineStr">
        <is>
          <t>ref</t>
        </is>
      </c>
      <c r="O104" t="n">
        <v>55</v>
      </c>
      <c r="P104" t="n">
        <v>0.01439</v>
      </c>
      <c r="Q104" t="n">
        <v>-90</v>
      </c>
      <c r="R104" t="n">
        <v>0.06586</v>
      </c>
      <c r="S104">
        <f>IMAGE("https://mitra.stanford.edu/kundaje/oak/projects/neuro-variants/variant_position/credible/roussos_2024/variant_figures/roussos_2024.infant.GLU/rs4133072_count_position.png",4,220,900)</f>
        <v/>
      </c>
      <c r="T104">
        <f>IMAGE("https://mitra.stanford.edu/kundaje/oak/projects/neuro-variants/variant_position/credible/roussos_2024/variant_figures/roussos_2024.infant.GLU/rs4133072_profile_position.png",4,220,900)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-0.00479170482</v>
      </c>
      <c r="G105" t="n">
        <v>0.7298151570182702</v>
      </c>
      <c r="H105" t="n">
        <v>0.0094508584515746</v>
      </c>
      <c r="I105" t="n">
        <v>0.7921920975035911</v>
      </c>
      <c r="J105" t="n">
        <v>0.0148647456954518</v>
      </c>
      <c r="K105" t="n">
        <v>0.5930343665985445</v>
      </c>
      <c r="L105" t="b">
        <v>0</v>
      </c>
      <c r="M105" t="b">
        <v>0</v>
      </c>
      <c r="N105" t="inlineStr">
        <is>
          <t>ref</t>
        </is>
      </c>
      <c r="O105" t="n">
        <v>65</v>
      </c>
      <c r="P105" t="n">
        <v>0.00818</v>
      </c>
      <c r="Q105" t="n">
        <v>-70</v>
      </c>
      <c r="R105" t="n">
        <v>0.0561</v>
      </c>
      <c r="S105">
        <f>IMAGE("https://mitra.stanford.edu/kundaje/oak/projects/neuro-variants/variant_position/credible/roussos_2024/variant_figures/roussos_2024.infant.GLU/rs12129719_count_position.png",4,220,900)</f>
        <v/>
      </c>
      <c r="T105">
        <f>IMAGE("https://mitra.stanford.edu/kundaje/oak/projects/neuro-variants/variant_position/credible/roussos_2024/variant_figures/roussos_2024.infant.GLU/rs12129719_profile_position.png",4,220,900)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-0.00226876986</v>
      </c>
      <c r="G106" t="n">
        <v>0.7810734084539468</v>
      </c>
      <c r="H106" t="n">
        <v>0.0075016264911558</v>
      </c>
      <c r="I106" t="n">
        <v>0.9376183287873951</v>
      </c>
      <c r="J106" t="n">
        <v>0.0188716682466544</v>
      </c>
      <c r="K106" t="n">
        <v>0.546112190930372</v>
      </c>
      <c r="L106" t="b">
        <v>0</v>
      </c>
      <c r="M106" t="b">
        <v>0</v>
      </c>
      <c r="N106" t="inlineStr">
        <is>
          <t>ref</t>
        </is>
      </c>
      <c r="O106" t="n">
        <v>-95</v>
      </c>
      <c r="P106" t="n">
        <v>0.01425</v>
      </c>
      <c r="Q106" t="n">
        <v>90</v>
      </c>
      <c r="R106" t="n">
        <v>0.10706</v>
      </c>
      <c r="S106">
        <f>IMAGE("https://mitra.stanford.edu/kundaje/oak/projects/neuro-variants/variant_position/credible/roussos_2024/variant_figures/roussos_2024.infant.GLU/rs954299_count_position.png",4,220,900)</f>
        <v/>
      </c>
      <c r="T106">
        <f>IMAGE("https://mitra.stanford.edu/kundaje/oak/projects/neuro-variants/variant_position/credible/roussos_2024/variant_figures/roussos_2024.infant.GLU/rs954299_profile_position.png",4,220,900)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0.0195452461999999</v>
      </c>
      <c r="G107" t="n">
        <v>0.440679669466139</v>
      </c>
      <c r="H107" t="n">
        <v>0.0455257735270866</v>
      </c>
      <c r="I107" t="n">
        <v>0.0116657847340999</v>
      </c>
      <c r="J107" t="n">
        <v>0.023123305187504</v>
      </c>
      <c r="K107" t="n">
        <v>0.5057887658999706</v>
      </c>
      <c r="L107" t="b">
        <v>1</v>
      </c>
      <c r="M107" t="b">
        <v>0</v>
      </c>
      <c r="N107" t="inlineStr">
        <is>
          <t>alt</t>
        </is>
      </c>
      <c r="O107" t="n">
        <v>80</v>
      </c>
      <c r="P107" t="n">
        <v>0.026</v>
      </c>
      <c r="Q107" t="n">
        <v>70</v>
      </c>
      <c r="R107" t="n">
        <v>0.11145</v>
      </c>
      <c r="S107">
        <f>IMAGE("https://mitra.stanford.edu/kundaje/oak/projects/neuro-variants/variant_position/credible/roussos_2024/variant_figures/roussos_2024.infant.GLU/rs2422013_count_position.png",4,220,900)</f>
        <v/>
      </c>
      <c r="T107">
        <f>IMAGE("https://mitra.stanford.edu/kundaje/oak/projects/neuro-variants/variant_position/credible/roussos_2024/variant_figures/roussos_2024.infant.GLU/rs2422013_profile_position.png",4,220,900)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0.0193694344599999</v>
      </c>
      <c r="G108" t="n">
        <v>0.4511460242323203</v>
      </c>
      <c r="H108" t="n">
        <v>0.0472536143078892</v>
      </c>
      <c r="I108" t="n">
        <v>0.009842390238070001</v>
      </c>
      <c r="J108" t="n">
        <v>0.1029685398708083</v>
      </c>
      <c r="K108" t="n">
        <v>0.2117485723067559</v>
      </c>
      <c r="L108" t="b">
        <v>1</v>
      </c>
      <c r="M108" t="b">
        <v>1</v>
      </c>
      <c r="N108" t="inlineStr">
        <is>
          <t>alt</t>
        </is>
      </c>
      <c r="O108" t="n">
        <v>100</v>
      </c>
      <c r="P108" t="n">
        <v>0.05115</v>
      </c>
      <c r="Q108" t="n">
        <v>-50</v>
      </c>
      <c r="R108" t="n">
        <v>0.319</v>
      </c>
      <c r="S108">
        <f>IMAGE("https://mitra.stanford.edu/kundaje/oak/projects/neuro-variants/variant_position/credible/roussos_2024/variant_figures/roussos_2024.infant.GLU/rs2901616_count_position.png",4,220,900)</f>
        <v/>
      </c>
      <c r="T108">
        <f>IMAGE("https://mitra.stanford.edu/kundaje/oak/projects/neuro-variants/variant_position/credible/roussos_2024/variant_figures/roussos_2024.infant.GLU/rs2901616_profile_position.png",4,220,900)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0.009885437199999901</v>
      </c>
      <c r="G109" t="n">
        <v>0.3394407042866745</v>
      </c>
      <c r="H109" t="n">
        <v>0.0309435111223887</v>
      </c>
      <c r="I109" t="n">
        <v>0.0523686945713851</v>
      </c>
      <c r="J109" t="n">
        <v>0.0086840538812583</v>
      </c>
      <c r="K109" t="n">
        <v>0.702011246956243</v>
      </c>
      <c r="L109" t="b">
        <v>0</v>
      </c>
      <c r="M109" t="b">
        <v>0</v>
      </c>
      <c r="N109" t="inlineStr">
        <is>
          <t>alt</t>
        </is>
      </c>
      <c r="O109" t="n">
        <v>-100</v>
      </c>
      <c r="P109" t="n">
        <v>0.02278</v>
      </c>
      <c r="Q109" t="n">
        <v>-100</v>
      </c>
      <c r="R109" t="n">
        <v>0.0328</v>
      </c>
      <c r="S109">
        <f>IMAGE("https://mitra.stanford.edu/kundaje/oak/projects/neuro-variants/variant_position/credible/roussos_2024/variant_figures/roussos_2024.infant.GLU/rs2422016_count_position.png",4,220,900)</f>
        <v/>
      </c>
      <c r="T109">
        <f>IMAGE("https://mitra.stanford.edu/kundaje/oak/projects/neuro-variants/variant_position/credible/roussos_2024/variant_figures/roussos_2024.infant.GLU/rs2422016_profile_position.png",4,220,900)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-0.0244821708</v>
      </c>
      <c r="G110" t="n">
        <v>0.3899449215300701</v>
      </c>
      <c r="H110" t="n">
        <v>0.023194293920761</v>
      </c>
      <c r="I110" t="n">
        <v>0.1235881912774141</v>
      </c>
      <c r="J110" t="n">
        <v>0.0224354593355232</v>
      </c>
      <c r="K110" t="n">
        <v>0.5116989139565792</v>
      </c>
      <c r="L110" t="b">
        <v>0</v>
      </c>
      <c r="M110" t="b">
        <v>0</v>
      </c>
      <c r="N110" t="inlineStr">
        <is>
          <t>ref</t>
        </is>
      </c>
      <c r="O110" t="n">
        <v>70</v>
      </c>
      <c r="P110" t="n">
        <v>0.03732</v>
      </c>
      <c r="Q110" t="n">
        <v>-5</v>
      </c>
      <c r="R110" t="n">
        <v>0.01749</v>
      </c>
      <c r="S110">
        <f>IMAGE("https://mitra.stanford.edu/kundaje/oak/projects/neuro-variants/variant_position/credible/roussos_2024/variant_figures/roussos_2024.infant.GLU/rs12120761_count_position.png",4,220,900)</f>
        <v/>
      </c>
      <c r="T110">
        <f>IMAGE("https://mitra.stanford.edu/kundaje/oak/projects/neuro-variants/variant_position/credible/roussos_2024/variant_figures/roussos_2024.infant.GLU/rs12120761_profile_position.png",4,220,900)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-0.0189297419399999</v>
      </c>
      <c r="G111" t="n">
        <v>0.4807050540668421</v>
      </c>
      <c r="H111" t="n">
        <v>0.0160782078166304</v>
      </c>
      <c r="I111" t="n">
        <v>0.3124092386602955</v>
      </c>
      <c r="J111" t="n">
        <v>0.0976256090301814</v>
      </c>
      <c r="K111" t="n">
        <v>0.2087053558953835</v>
      </c>
      <c r="L111" t="b">
        <v>0</v>
      </c>
      <c r="M111" t="b">
        <v>0</v>
      </c>
      <c r="N111" t="inlineStr">
        <is>
          <t>ref</t>
        </is>
      </c>
      <c r="O111" t="n">
        <v>45</v>
      </c>
      <c r="P111" t="n">
        <v>0.03137</v>
      </c>
      <c r="Q111" t="n">
        <v>-20</v>
      </c>
      <c r="R111" t="n">
        <v>0.05676</v>
      </c>
      <c r="S111">
        <f>IMAGE("https://mitra.stanford.edu/kundaje/oak/projects/neuro-variants/variant_position/credible/roussos_2024/variant_figures/roussos_2024.infant.GLU/rs2422021_count_position.png",4,220,900)</f>
        <v/>
      </c>
      <c r="T111">
        <f>IMAGE("https://mitra.stanford.edu/kundaje/oak/projects/neuro-variants/variant_position/credible/roussos_2024/variant_figures/roussos_2024.infant.GLU/rs2422021_profile_position.png",4,220,900)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0.2208372049999999</v>
      </c>
      <c r="G112" t="n">
        <v>0.008627869904449701</v>
      </c>
      <c r="H112" t="n">
        <v>0.0350780120806031</v>
      </c>
      <c r="I112" t="n">
        <v>0.0359298740598737</v>
      </c>
      <c r="J112" t="n">
        <v>0.088969113075685</v>
      </c>
      <c r="K112" t="n">
        <v>0.2406778763982436</v>
      </c>
      <c r="L112" t="b">
        <v>1</v>
      </c>
      <c r="M112" t="b">
        <v>1</v>
      </c>
      <c r="N112" t="inlineStr">
        <is>
          <t>alt</t>
        </is>
      </c>
      <c r="O112" t="n">
        <v>60</v>
      </c>
      <c r="P112" t="n">
        <v>0.01139</v>
      </c>
      <c r="Q112" t="n">
        <v>95</v>
      </c>
      <c r="R112" t="n">
        <v>0.0978</v>
      </c>
      <c r="S112">
        <f>IMAGE("https://mitra.stanford.edu/kundaje/oak/projects/neuro-variants/variant_position/credible/roussos_2024/variant_figures/roussos_2024.infant.GLU/rs7531932_count_position.png",4,220,900)</f>
        <v/>
      </c>
      <c r="T112">
        <f>IMAGE("https://mitra.stanford.edu/kundaje/oak/projects/neuro-variants/variant_position/credible/roussos_2024/variant_figures/roussos_2024.infant.GLU/rs7531932_profile_position.png",4,220,900)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0.0970517669999999</v>
      </c>
      <c r="G113" t="n">
        <v>0.053555640503856</v>
      </c>
      <c r="H113" t="n">
        <v>0.0135010663445352</v>
      </c>
      <c r="I113" t="n">
        <v>0.4469699247888668</v>
      </c>
      <c r="J113" t="n">
        <v>0.0524361207257655</v>
      </c>
      <c r="K113" t="n">
        <v>0.3282645981434939</v>
      </c>
      <c r="L113" t="b">
        <v>0</v>
      </c>
      <c r="M113" t="b">
        <v>0</v>
      </c>
      <c r="N113" t="inlineStr">
        <is>
          <t>alt</t>
        </is>
      </c>
      <c r="O113" t="n">
        <v>100</v>
      </c>
      <c r="P113" t="n">
        <v>0.01306</v>
      </c>
      <c r="Q113" t="n">
        <v>100</v>
      </c>
      <c r="R113" t="n">
        <v>0.03833</v>
      </c>
      <c r="S113">
        <f>IMAGE("https://mitra.stanford.edu/kundaje/oak/projects/neuro-variants/variant_position/credible/roussos_2024/variant_figures/roussos_2024.infant.GLU/rs10789321_count_position.png",4,220,900)</f>
        <v/>
      </c>
      <c r="T113">
        <f>IMAGE("https://mitra.stanford.edu/kundaje/oak/projects/neuro-variants/variant_position/credible/roussos_2024/variant_figures/roussos_2024.infant.GLU/rs10789321_profile_position.png",4,220,900)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-0.234675936</v>
      </c>
      <c r="G114" t="n">
        <v>0.0066395959587156</v>
      </c>
      <c r="H114" t="n">
        <v>0.031046925353612</v>
      </c>
      <c r="I114" t="n">
        <v>0.0517275086107297</v>
      </c>
      <c r="J114" t="n">
        <v>0.008867038514958301</v>
      </c>
      <c r="K114" t="n">
        <v>0.684515241007932</v>
      </c>
      <c r="L114" t="b">
        <v>1</v>
      </c>
      <c r="M114" t="b">
        <v>1</v>
      </c>
      <c r="N114" t="inlineStr">
        <is>
          <t>ref</t>
        </is>
      </c>
      <c r="O114" t="n">
        <v>-95</v>
      </c>
      <c r="P114" t="n">
        <v>0.08984</v>
      </c>
      <c r="Q114" t="n">
        <v>-35</v>
      </c>
      <c r="R114" t="n">
        <v>0.03888</v>
      </c>
      <c r="S114">
        <f>IMAGE("https://mitra.stanford.edu/kundaje/oak/projects/neuro-variants/variant_position/credible/roussos_2024/variant_figures/roussos_2024.infant.GLU/rs11209830_count_position.png",4,220,900)</f>
        <v/>
      </c>
      <c r="T114">
        <f>IMAGE("https://mitra.stanford.edu/kundaje/oak/projects/neuro-variants/variant_position/credible/roussos_2024/variant_figures/roussos_2024.infant.GLU/rs11209830_profile_position.png",4,220,900)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0.0078888997</v>
      </c>
      <c r="G115" t="n">
        <v>0.5902051611322822</v>
      </c>
      <c r="H115" t="n">
        <v>0.0133301597708499</v>
      </c>
      <c r="I115" t="n">
        <v>0.4611578011715853</v>
      </c>
      <c r="J115" t="n">
        <v>0.08670715844705559</v>
      </c>
      <c r="K115" t="n">
        <v>0.2354476398579374</v>
      </c>
      <c r="L115" t="b">
        <v>0</v>
      </c>
      <c r="M115" t="b">
        <v>0</v>
      </c>
      <c r="N115" t="inlineStr">
        <is>
          <t>alt</t>
        </is>
      </c>
      <c r="O115" t="n">
        <v>-5</v>
      </c>
      <c r="P115" t="n">
        <v>0.004395</v>
      </c>
      <c r="Q115" t="n">
        <v>-80</v>
      </c>
      <c r="R115" t="n">
        <v>0.06006</v>
      </c>
      <c r="S115">
        <f>IMAGE("https://mitra.stanford.edu/kundaje/oak/projects/neuro-variants/variant_position/credible/roussos_2024/variant_figures/roussos_2024.infant.GLU/rs12740031_count_position.png",4,220,900)</f>
        <v/>
      </c>
      <c r="T115">
        <f>IMAGE("https://mitra.stanford.edu/kundaje/oak/projects/neuro-variants/variant_position/credible/roussos_2024/variant_figures/roussos_2024.infant.GLU/rs12740031_profile_position.png",4,220,900)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-0.0276560231999999</v>
      </c>
      <c r="G116" t="n">
        <v>0.323148650100414</v>
      </c>
      <c r="H116" t="n">
        <v>0.0469592251289405</v>
      </c>
      <c r="I116" t="n">
        <v>0.0102302573847673</v>
      </c>
      <c r="J116" t="n">
        <v>0.0249729932317731</v>
      </c>
      <c r="K116" t="n">
        <v>0.4936842904025204</v>
      </c>
      <c r="L116" t="b">
        <v>1</v>
      </c>
      <c r="M116" t="b">
        <v>0</v>
      </c>
      <c r="N116" t="inlineStr">
        <is>
          <t>ref</t>
        </is>
      </c>
      <c r="O116" t="n">
        <v>15</v>
      </c>
      <c r="P116" t="n">
        <v>0.001953</v>
      </c>
      <c r="Q116" t="n">
        <v>100</v>
      </c>
      <c r="R116" t="n">
        <v>0.0861</v>
      </c>
      <c r="S116">
        <f>IMAGE("https://mitra.stanford.edu/kundaje/oak/projects/neuro-variants/variant_position/credible/roussos_2024/variant_figures/roussos_2024.infant.GLU/rs517762_count_position.png",4,220,900)</f>
        <v/>
      </c>
      <c r="T116">
        <f>IMAGE("https://mitra.stanford.edu/kundaje/oak/projects/neuro-variants/variant_position/credible/roussos_2024/variant_figures/roussos_2024.infant.GLU/rs517762_profile_position.png",4,220,900)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0.03284985522</v>
      </c>
      <c r="G117" t="n">
        <v>0.2810273294275082</v>
      </c>
      <c r="H117" t="n">
        <v>0.0142822731308567</v>
      </c>
      <c r="I117" t="n">
        <v>0.397170802616613</v>
      </c>
      <c r="J117" t="n">
        <v>0.09127626270420409</v>
      </c>
      <c r="K117" t="n">
        <v>0.2282813220024463</v>
      </c>
      <c r="L117" t="b">
        <v>0</v>
      </c>
      <c r="M117" t="b">
        <v>0</v>
      </c>
      <c r="N117" t="inlineStr">
        <is>
          <t>alt</t>
        </is>
      </c>
      <c r="O117" t="n">
        <v>0</v>
      </c>
      <c r="P117" t="n">
        <v>0</v>
      </c>
      <c r="Q117" t="n">
        <v>50</v>
      </c>
      <c r="R117" t="n">
        <v>0.1873</v>
      </c>
      <c r="S117">
        <f>IMAGE("https://mitra.stanford.edu/kundaje/oak/projects/neuro-variants/variant_position/credible/roussos_2024/variant_figures/roussos_2024.infant.GLU/rs11209863_count_position.png",4,220,900)</f>
        <v/>
      </c>
      <c r="T117">
        <f>IMAGE("https://mitra.stanford.edu/kundaje/oak/projects/neuro-variants/variant_position/credible/roussos_2024/variant_figures/roussos_2024.infant.GLU/rs11209863_profile_position.png",4,220,900)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0.0559092102</v>
      </c>
      <c r="G118" t="n">
        <v>0.1378291117538487</v>
      </c>
      <c r="H118" t="n">
        <v>0.0117206309340606</v>
      </c>
      <c r="I118" t="n">
        <v>0.5839186446652956</v>
      </c>
      <c r="J118" t="n">
        <v>0.0005897396327079</v>
      </c>
      <c r="K118" t="n">
        <v>0.9350708949108152</v>
      </c>
      <c r="L118" t="b">
        <v>0</v>
      </c>
      <c r="M118" t="b">
        <v>0</v>
      </c>
      <c r="N118" t="inlineStr">
        <is>
          <t>alt</t>
        </is>
      </c>
      <c r="O118" t="n">
        <v>-10</v>
      </c>
      <c r="P118" t="n">
        <v>0.0004883</v>
      </c>
      <c r="Q118" t="n">
        <v>-100</v>
      </c>
      <c r="R118" t="n">
        <v>0.01305</v>
      </c>
      <c r="S118">
        <f>IMAGE("https://mitra.stanford.edu/kundaje/oak/projects/neuro-variants/variant_position/credible/roussos_2024/variant_figures/roussos_2024.infant.GLU/rs12135442_count_position.png",4,220,900)</f>
        <v/>
      </c>
      <c r="T118">
        <f>IMAGE("https://mitra.stanford.edu/kundaje/oak/projects/neuro-variants/variant_position/credible/roussos_2024/variant_figures/roussos_2024.infant.GLU/rs12135442_profile_position.png",4,220,900)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0.004508926246</v>
      </c>
      <c r="G119" t="n">
        <v>0.8122177408124062</v>
      </c>
      <c r="H119" t="n">
        <v>0.0113511567296804</v>
      </c>
      <c r="I119" t="n">
        <v>0.6143971082508473</v>
      </c>
      <c r="J119" t="n">
        <v>0.0211082695826627</v>
      </c>
      <c r="K119" t="n">
        <v>0.53095135971328</v>
      </c>
      <c r="L119" t="b">
        <v>0</v>
      </c>
      <c r="M119" t="b">
        <v>0</v>
      </c>
      <c r="N119" t="inlineStr">
        <is>
          <t>alt</t>
        </is>
      </c>
      <c r="O119" t="n">
        <v>95</v>
      </c>
      <c r="P119" t="n">
        <v>0.157</v>
      </c>
      <c r="Q119" t="n">
        <v>80</v>
      </c>
      <c r="R119" t="n">
        <v>0.0713</v>
      </c>
      <c r="S119">
        <f>IMAGE("https://mitra.stanford.edu/kundaje/oak/projects/neuro-variants/variant_position/credible/roussos_2024/variant_figures/roussos_2024.infant.GLU/rs11210070_count_position.png",4,220,900)</f>
        <v/>
      </c>
      <c r="T119">
        <f>IMAGE("https://mitra.stanford.edu/kundaje/oak/projects/neuro-variants/variant_position/credible/roussos_2024/variant_figures/roussos_2024.infant.GLU/rs11210070_profile_position.png",4,220,900)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0.0497255864</v>
      </c>
      <c r="G120" t="n">
        <v>0.1663205730170613</v>
      </c>
      <c r="H120" t="n">
        <v>0.0356961707217576</v>
      </c>
      <c r="I120" t="n">
        <v>0.0316020557937432</v>
      </c>
      <c r="J120" t="n">
        <v>0.0560296743755373</v>
      </c>
      <c r="K120" t="n">
        <v>0.3263557653502966</v>
      </c>
      <c r="L120" t="b">
        <v>0</v>
      </c>
      <c r="M120" t="b">
        <v>0</v>
      </c>
      <c r="N120" t="inlineStr">
        <is>
          <t>alt</t>
        </is>
      </c>
      <c r="O120" t="n">
        <v>-80</v>
      </c>
      <c r="P120" t="n">
        <v>0.03363</v>
      </c>
      <c r="Q120" t="n">
        <v>-80</v>
      </c>
      <c r="R120" t="n">
        <v>0.4011</v>
      </c>
      <c r="S120">
        <f>IMAGE("https://mitra.stanford.edu/kundaje/oak/projects/neuro-variants/variant_position/credible/roussos_2024/variant_figures/roussos_2024.infant.GLU/rs2422320_count_position.png",4,220,900)</f>
        <v/>
      </c>
      <c r="T120">
        <f>IMAGE("https://mitra.stanford.edu/kundaje/oak/projects/neuro-variants/variant_position/credible/roussos_2024/variant_figures/roussos_2024.infant.GLU/rs2422320_profile_position.png",4,220,900)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0.002196444388</v>
      </c>
      <c r="G121" t="n">
        <v>0.8508688606949476</v>
      </c>
      <c r="H121" t="n">
        <v>0.0112338749891752</v>
      </c>
      <c r="I121" t="n">
        <v>0.6236955434932566</v>
      </c>
      <c r="J121" t="n">
        <v>0.0144116933794836</v>
      </c>
      <c r="K121" t="n">
        <v>0.6049861482344988</v>
      </c>
      <c r="L121" t="b">
        <v>0</v>
      </c>
      <c r="M121" t="b">
        <v>0</v>
      </c>
      <c r="N121" t="inlineStr">
        <is>
          <t>alt</t>
        </is>
      </c>
      <c r="O121" t="n">
        <v>80</v>
      </c>
      <c r="P121" t="n">
        <v>0.06370000000000001</v>
      </c>
      <c r="Q121" t="n">
        <v>85</v>
      </c>
      <c r="R121" t="n">
        <v>0.2712</v>
      </c>
      <c r="S121">
        <f>IMAGE("https://mitra.stanford.edu/kundaje/oak/projects/neuro-variants/variant_position/credible/roussos_2024/variant_figures/roussos_2024.infant.GLU/rs1525980_count_position.png",4,220,900)</f>
        <v/>
      </c>
      <c r="T121">
        <f>IMAGE("https://mitra.stanford.edu/kundaje/oak/projects/neuro-variants/variant_position/credible/roussos_2024/variant_figures/roussos_2024.infant.GLU/rs1525980_profile_position.png",4,220,900)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0.5196528540000001</v>
      </c>
      <c r="G122" t="n">
        <v>0.0003384170406013</v>
      </c>
      <c r="H122" t="n">
        <v>0.0859262637386236</v>
      </c>
      <c r="I122" t="n">
        <v>0.0005234956736678001</v>
      </c>
      <c r="J122" t="n">
        <v>0.0191946471483056</v>
      </c>
      <c r="K122" t="n">
        <v>0.5863818595748092</v>
      </c>
      <c r="L122" t="b">
        <v>1</v>
      </c>
      <c r="M122" t="b">
        <v>1</v>
      </c>
      <c r="N122" t="inlineStr">
        <is>
          <t>alt</t>
        </is>
      </c>
      <c r="O122" t="n">
        <v>50</v>
      </c>
      <c r="P122" t="n">
        <v>0.008194</v>
      </c>
      <c r="Q122" t="n">
        <v>55</v>
      </c>
      <c r="R122" t="n">
        <v>0.07056</v>
      </c>
      <c r="S122">
        <f>IMAGE("https://mitra.stanford.edu/kundaje/oak/projects/neuro-variants/variant_position/credible/roussos_2024/variant_figures/roussos_2024.infant.GLU/rs6682845_count_position.png",4,220,900)</f>
        <v/>
      </c>
      <c r="T122">
        <f>IMAGE("https://mitra.stanford.edu/kundaje/oak/projects/neuro-variants/variant_position/credible/roussos_2024/variant_figures/roussos_2024.infant.GLU/rs6682845_profile_position.png",4,220,900)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-0.0020898372</v>
      </c>
      <c r="G123" t="n">
        <v>0.4042399571303583</v>
      </c>
      <c r="H123" t="n">
        <v>0.009635122120470799</v>
      </c>
      <c r="I123" t="n">
        <v>0.7698896703089279</v>
      </c>
      <c r="J123" t="n">
        <v>0.4661125686192376</v>
      </c>
      <c r="K123" t="n">
        <v>0.0350550943084093</v>
      </c>
      <c r="L123" t="b">
        <v>0</v>
      </c>
      <c r="M123" t="b">
        <v>0</v>
      </c>
      <c r="N123" t="inlineStr">
        <is>
          <t>ref</t>
        </is>
      </c>
      <c r="O123" t="n">
        <v>-55</v>
      </c>
      <c r="P123" t="n">
        <v>0.03156</v>
      </c>
      <c r="Q123" t="n">
        <v>-20</v>
      </c>
      <c r="R123" t="n">
        <v>0.04736</v>
      </c>
      <c r="S123">
        <f>IMAGE("https://mitra.stanford.edu/kundaje/oak/projects/neuro-variants/variant_position/credible/roussos_2024/variant_figures/roussos_2024.infant.GLU/rs11210117_count_position.png",4,220,900)</f>
        <v/>
      </c>
      <c r="T123">
        <f>IMAGE("https://mitra.stanford.edu/kundaje/oak/projects/neuro-variants/variant_position/credible/roussos_2024/variant_figures/roussos_2024.infant.GLU/rs11210117_profile_position.png",4,220,900)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0.08554344799999999</v>
      </c>
      <c r="G124" t="n">
        <v>0.06826467150964501</v>
      </c>
      <c r="H124" t="n">
        <v>0.0350463116694437</v>
      </c>
      <c r="I124" t="n">
        <v>0.0336862870215244</v>
      </c>
      <c r="J124" t="n">
        <v>0.0331202186997067</v>
      </c>
      <c r="K124" t="n">
        <v>0.4324533112339812</v>
      </c>
      <c r="L124" t="b">
        <v>0</v>
      </c>
      <c r="M124" t="b">
        <v>0</v>
      </c>
      <c r="N124" t="inlineStr">
        <is>
          <t>alt</t>
        </is>
      </c>
      <c r="O124" t="n">
        <v>-95</v>
      </c>
      <c r="P124" t="n">
        <v>0.005974</v>
      </c>
      <c r="Q124" t="n">
        <v>55</v>
      </c>
      <c r="R124" t="n">
        <v>0.00949</v>
      </c>
      <c r="S124">
        <f>IMAGE("https://mitra.stanford.edu/kundaje/oak/projects/neuro-variants/variant_position/credible/roussos_2024/variant_figures/roussos_2024.infant.GLU/rs11210120_count_position.png",4,220,900)</f>
        <v/>
      </c>
      <c r="T124">
        <f>IMAGE("https://mitra.stanford.edu/kundaje/oak/projects/neuro-variants/variant_position/credible/roussos_2024/variant_figures/roussos_2024.infant.GLU/rs11210120_profile_position.png",4,220,900)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-0.0250706890399999</v>
      </c>
      <c r="G125" t="n">
        <v>0.3633189660386395</v>
      </c>
      <c r="H125" t="n">
        <v>0.0074422656462112</v>
      </c>
      <c r="I125" t="n">
        <v>0.9235118647808476</v>
      </c>
      <c r="J125" t="n">
        <v>0.0340671090632509</v>
      </c>
      <c r="K125" t="n">
        <v>0.4352309175888937</v>
      </c>
      <c r="L125" t="b">
        <v>0</v>
      </c>
      <c r="M125" t="b">
        <v>0</v>
      </c>
      <c r="N125" t="inlineStr">
        <is>
          <t>ref</t>
        </is>
      </c>
      <c r="O125" t="n">
        <v>-100</v>
      </c>
      <c r="P125" t="n">
        <v>0.02481</v>
      </c>
      <c r="Q125" t="n">
        <v>-100</v>
      </c>
      <c r="R125" t="n">
        <v>0.09247</v>
      </c>
      <c r="S125">
        <f>IMAGE("https://mitra.stanford.edu/kundaje/oak/projects/neuro-variants/variant_position/credible/roussos_2024/variant_figures/roussos_2024.infant.GLU/rs61773608_count_position.png",4,220,900)</f>
        <v/>
      </c>
      <c r="T125">
        <f>IMAGE("https://mitra.stanford.edu/kundaje/oak/projects/neuro-variants/variant_position/credible/roussos_2024/variant_figures/roussos_2024.infant.GLU/rs61773608_profile_position.png",4,220,900)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-0.031026344</v>
      </c>
      <c r="G126" t="n">
        <v>0.3132365217170593</v>
      </c>
      <c r="H126" t="n">
        <v>0.0475292229541566</v>
      </c>
      <c r="I126" t="n">
        <v>0.009531581750035999</v>
      </c>
      <c r="J126" t="n">
        <v>0.0063184814480036</v>
      </c>
      <c r="K126" t="n">
        <v>0.7248278905406743</v>
      </c>
      <c r="L126" t="b">
        <v>0</v>
      </c>
      <c r="M126" t="b">
        <v>0</v>
      </c>
      <c r="N126" t="inlineStr">
        <is>
          <t>ref</t>
        </is>
      </c>
      <c r="O126" t="n">
        <v>95</v>
      </c>
      <c r="P126" t="n">
        <v>0.02344</v>
      </c>
      <c r="Q126" t="n">
        <v>-40</v>
      </c>
      <c r="R126" t="n">
        <v>0.03687</v>
      </c>
      <c r="S126">
        <f>IMAGE("https://mitra.stanford.edu/kundaje/oak/projects/neuro-variants/variant_position/credible/roussos_2024/variant_figures/roussos_2024.infant.GLU/rs4233100_count_position.png",4,220,900)</f>
        <v/>
      </c>
      <c r="T126">
        <f>IMAGE("https://mitra.stanford.edu/kundaje/oak/projects/neuro-variants/variant_position/credible/roussos_2024/variant_figures/roussos_2024.infant.GLU/rs4233100_profile_position.png",4,220,900)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0.0007299566999999</v>
      </c>
      <c r="G127" t="n">
        <v>0.5811274318137341</v>
      </c>
      <c r="H127" t="n">
        <v>0.0153061023847708</v>
      </c>
      <c r="I127" t="n">
        <v>0.3486958935341558</v>
      </c>
      <c r="J127" t="n">
        <v>0.0040653453559381</v>
      </c>
      <c r="K127" t="n">
        <v>0.8021606082121757</v>
      </c>
      <c r="L127" t="b">
        <v>0</v>
      </c>
      <c r="M127" t="b">
        <v>0</v>
      </c>
      <c r="N127" t="inlineStr">
        <is>
          <t>alt</t>
        </is>
      </c>
      <c r="O127" t="n">
        <v>100</v>
      </c>
      <c r="P127" t="n">
        <v>0.1251</v>
      </c>
      <c r="Q127" t="n">
        <v>-100</v>
      </c>
      <c r="R127" t="n">
        <v>0.0649</v>
      </c>
      <c r="S127">
        <f>IMAGE("https://mitra.stanford.edu/kundaje/oak/projects/neuro-variants/variant_position/credible/roussos_2024/variant_figures/roussos_2024.infant.GLU/rs12141350_count_position.png",4,220,900)</f>
        <v/>
      </c>
      <c r="T127">
        <f>IMAGE("https://mitra.stanford.edu/kundaje/oak/projects/neuro-variants/variant_position/credible/roussos_2024/variant_figures/roussos_2024.infant.GLU/rs12141350_profile_position.png",4,220,900)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0.00781137414</v>
      </c>
      <c r="G128" t="n">
        <v>0.5853394702715761</v>
      </c>
      <c r="H128" t="n">
        <v>0.0316679990980322</v>
      </c>
      <c r="I128" t="n">
        <v>0.04803681168762</v>
      </c>
      <c r="J128" t="n">
        <v>0.0228400097003901</v>
      </c>
      <c r="K128" t="n">
        <v>0.5058128150381341</v>
      </c>
      <c r="L128" t="b">
        <v>0</v>
      </c>
      <c r="M128" t="b">
        <v>0</v>
      </c>
      <c r="N128" t="inlineStr">
        <is>
          <t>alt</t>
        </is>
      </c>
      <c r="O128" t="n">
        <v>40</v>
      </c>
      <c r="P128" t="n">
        <v>0.02222</v>
      </c>
      <c r="Q128" t="n">
        <v>20</v>
      </c>
      <c r="R128" t="n">
        <v>0.02649</v>
      </c>
      <c r="S128">
        <f>IMAGE("https://mitra.stanford.edu/kundaje/oak/projects/neuro-variants/variant_position/credible/roussos_2024/variant_figures/roussos_2024.infant.GLU/rs11210125_count_position.png",4,220,900)</f>
        <v/>
      </c>
      <c r="T128">
        <f>IMAGE("https://mitra.stanford.edu/kundaje/oak/projects/neuro-variants/variant_position/credible/roussos_2024/variant_figures/roussos_2024.infant.GLU/rs11210125_profile_position.png",4,220,900)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-0.0054480665</v>
      </c>
      <c r="G129" t="n">
        <v>0.375634936397733</v>
      </c>
      <c r="H129" t="n">
        <v>0.0087305782403244</v>
      </c>
      <c r="I129" t="n">
        <v>0.8501964482671458</v>
      </c>
      <c r="J129" t="n">
        <v>0.062993011309773</v>
      </c>
      <c r="K129" t="n">
        <v>0.2993484553356955</v>
      </c>
      <c r="L129" t="b">
        <v>0</v>
      </c>
      <c r="M129" t="b">
        <v>0</v>
      </c>
      <c r="N129" t="inlineStr">
        <is>
          <t>ref</t>
        </is>
      </c>
      <c r="O129" t="n">
        <v>-90</v>
      </c>
      <c r="P129" t="n">
        <v>0.0263</v>
      </c>
      <c r="Q129" t="n">
        <v>-40</v>
      </c>
      <c r="R129" t="n">
        <v>0.04297</v>
      </c>
      <c r="S129">
        <f>IMAGE("https://mitra.stanford.edu/kundaje/oak/projects/neuro-variants/variant_position/credible/roussos_2024/variant_figures/roussos_2024.infant.GLU/rs4428835_count_position.png",4,220,900)</f>
        <v/>
      </c>
      <c r="T129">
        <f>IMAGE("https://mitra.stanford.edu/kundaje/oak/projects/neuro-variants/variant_position/credible/roussos_2024/variant_figures/roussos_2024.infant.GLU/rs4428835_profile_position.png",4,220,900)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-0.0051496921599999</v>
      </c>
      <c r="G130" t="n">
        <v>0.558547866181776</v>
      </c>
      <c r="H130" t="n">
        <v>0.0580216831550477</v>
      </c>
      <c r="I130" t="n">
        <v>0.0036608941473828</v>
      </c>
      <c r="J130" t="n">
        <v>0.0195209330011684</v>
      </c>
      <c r="K130" t="n">
        <v>0.5576135641765955</v>
      </c>
      <c r="L130" t="b">
        <v>1</v>
      </c>
      <c r="M130" t="b">
        <v>0</v>
      </c>
      <c r="N130" t="inlineStr">
        <is>
          <t>ref</t>
        </is>
      </c>
      <c r="O130" t="n">
        <v>50</v>
      </c>
      <c r="P130" t="n">
        <v>0.006424</v>
      </c>
      <c r="Q130" t="n">
        <v>-70</v>
      </c>
      <c r="R130" t="n">
        <v>0.1453</v>
      </c>
      <c r="S130">
        <f>IMAGE("https://mitra.stanford.edu/kundaje/oak/projects/neuro-variants/variant_position/credible/roussos_2024/variant_figures/roussos_2024.infant.GLU/rs7547148_count_position.png",4,220,900)</f>
        <v/>
      </c>
      <c r="T130">
        <f>IMAGE("https://mitra.stanford.edu/kundaje/oak/projects/neuro-variants/variant_position/credible/roussos_2024/variant_figures/roussos_2024.infant.GLU/rs7547148_profile_position.png",4,220,900)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0.01268446812</v>
      </c>
      <c r="G131" t="n">
        <v>0.5671203715456336</v>
      </c>
      <c r="H131" t="n">
        <v>0.0435909947126804</v>
      </c>
      <c r="I131" t="n">
        <v>0.0143641923750219</v>
      </c>
      <c r="J131" t="n">
        <v>0.0315990211424413</v>
      </c>
      <c r="K131" t="n">
        <v>0.4404234383368957</v>
      </c>
      <c r="L131" t="b">
        <v>1</v>
      </c>
      <c r="M131" t="b">
        <v>0</v>
      </c>
      <c r="N131" t="inlineStr">
        <is>
          <t>alt</t>
        </is>
      </c>
      <c r="O131" t="n">
        <v>100</v>
      </c>
      <c r="P131" t="n">
        <v>0.0199</v>
      </c>
      <c r="Q131" t="n">
        <v>100</v>
      </c>
      <c r="R131" t="n">
        <v>0.1062</v>
      </c>
      <c r="S131">
        <f>IMAGE("https://mitra.stanford.edu/kundaje/oak/projects/neuro-variants/variant_position/credible/roussos_2024/variant_figures/roussos_2024.infant.GLU/rs12118367_count_position.png",4,220,900)</f>
        <v/>
      </c>
      <c r="T131">
        <f>IMAGE("https://mitra.stanford.edu/kundaje/oak/projects/neuro-variants/variant_position/credible/roussos_2024/variant_figures/roussos_2024.infant.GLU/rs12118367_profile_position.png",4,220,900)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-0.0352931656</v>
      </c>
      <c r="G132" t="n">
        <v>0.2750133869039444</v>
      </c>
      <c r="H132" t="n">
        <v>0.0543380122030673</v>
      </c>
      <c r="I132" t="n">
        <v>0.0052516854428496</v>
      </c>
      <c r="J132" t="n">
        <v>0.0453383011089309</v>
      </c>
      <c r="K132" t="n">
        <v>0.3614867975266172</v>
      </c>
      <c r="L132" t="b">
        <v>1</v>
      </c>
      <c r="M132" t="b">
        <v>0</v>
      </c>
      <c r="N132" t="inlineStr">
        <is>
          <t>ref</t>
        </is>
      </c>
      <c r="O132" t="n">
        <v>-100</v>
      </c>
      <c r="P132" t="n">
        <v>0.02884</v>
      </c>
      <c r="Q132" t="n">
        <v>-45</v>
      </c>
      <c r="R132" t="n">
        <v>0.10974</v>
      </c>
      <c r="S132">
        <f>IMAGE("https://mitra.stanford.edu/kundaje/oak/projects/neuro-variants/variant_position/credible/roussos_2024/variant_figures/roussos_2024.infant.GLU/rs12137150_count_position.png",4,220,900)</f>
        <v/>
      </c>
      <c r="T132">
        <f>IMAGE("https://mitra.stanford.edu/kundaje/oak/projects/neuro-variants/variant_position/credible/roussos_2024/variant_figures/roussos_2024.infant.GLU/rs12137150_profile_position.png",4,220,900)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-0.0158338644</v>
      </c>
      <c r="G133" t="n">
        <v>0.5291237993779286</v>
      </c>
      <c r="H133" t="n">
        <v>0.0078485738673259</v>
      </c>
      <c r="I133" t="n">
        <v>0.919354654158135</v>
      </c>
      <c r="J133" t="n">
        <v>0.0352664300359355</v>
      </c>
      <c r="K133" t="n">
        <v>0.4234236981734601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0.05292</v>
      </c>
      <c r="Q133" t="n">
        <v>-25</v>
      </c>
      <c r="R133" t="n">
        <v>0.1203</v>
      </c>
      <c r="S133">
        <f>IMAGE("https://mitra.stanford.edu/kundaje/oak/projects/neuro-variants/variant_position/credible/roussos_2024/variant_figures/roussos_2024.infant.GLU/rs4391625_count_position.png",4,220,900)</f>
        <v/>
      </c>
      <c r="T133">
        <f>IMAGE("https://mitra.stanford.edu/kundaje/oak/projects/neuro-variants/variant_position/credible/roussos_2024/variant_figures/roussos_2024.infant.GLU/rs4391625_profile_position.png",4,220,900)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-0.177010154</v>
      </c>
      <c r="G134" t="n">
        <v>0.014754725247238</v>
      </c>
      <c r="H134" t="n">
        <v>0.025101239574173</v>
      </c>
      <c r="I134" t="n">
        <v>0.1028015503299905</v>
      </c>
      <c r="J134" t="n">
        <v>0.0551323882801648</v>
      </c>
      <c r="K134" t="n">
        <v>0.3286219818533432</v>
      </c>
      <c r="L134" t="b">
        <v>1</v>
      </c>
      <c r="M134" t="b">
        <v>0</v>
      </c>
      <c r="N134" t="inlineStr">
        <is>
          <t>ref</t>
        </is>
      </c>
      <c r="O134" t="n">
        <v>-100</v>
      </c>
      <c r="P134" t="n">
        <v>0.0697</v>
      </c>
      <c r="Q134" t="n">
        <v>-100</v>
      </c>
      <c r="R134" t="n">
        <v>0.094</v>
      </c>
      <c r="S134">
        <f>IMAGE("https://mitra.stanford.edu/kundaje/oak/projects/neuro-variants/variant_position/credible/roussos_2024/variant_figures/roussos_2024.infant.GLU/rs57852356_count_position.png",4,220,900)</f>
        <v/>
      </c>
      <c r="T134">
        <f>IMAGE("https://mitra.stanford.edu/kundaje/oak/projects/neuro-variants/variant_position/credible/roussos_2024/variant_figures/roussos_2024.infant.GLU/rs57852356_profile_position.png",4,220,900)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-0.052491932</v>
      </c>
      <c r="G135" t="n">
        <v>0.1689674271730794</v>
      </c>
      <c r="H135" t="n">
        <v>0.0133080899274134</v>
      </c>
      <c r="I135" t="n">
        <v>0.4599598055359124</v>
      </c>
      <c r="J135" t="n">
        <v>0.0045580810864436</v>
      </c>
      <c r="K135" t="n">
        <v>0.7700952936353387</v>
      </c>
      <c r="L135" t="b">
        <v>0</v>
      </c>
      <c r="M135" t="b">
        <v>0</v>
      </c>
      <c r="N135" t="inlineStr">
        <is>
          <t>ref</t>
        </is>
      </c>
      <c r="O135" t="n">
        <v>-10</v>
      </c>
      <c r="P135" t="n">
        <v>0.001221</v>
      </c>
      <c r="Q135" t="n">
        <v>90</v>
      </c>
      <c r="R135" t="n">
        <v>0.01503</v>
      </c>
      <c r="S135">
        <f>IMAGE("https://mitra.stanford.edu/kundaje/oak/projects/neuro-variants/variant_position/credible/roussos_2024/variant_figures/roussos_2024.infant.GLU/rs6424521_count_position.png",4,220,900)</f>
        <v/>
      </c>
      <c r="T135">
        <f>IMAGE("https://mitra.stanford.edu/kundaje/oak/projects/neuro-variants/variant_position/credible/roussos_2024/variant_figures/roussos_2024.infant.GLU/rs6424521_profile_position.png",4,220,900)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0.057320384</v>
      </c>
      <c r="G136" t="n">
        <v>0.1337597514414629</v>
      </c>
      <c r="H136" t="n">
        <v>0.0121523689858166</v>
      </c>
      <c r="I136" t="n">
        <v>0.5403344355336742</v>
      </c>
      <c r="J136" t="n">
        <v>0.0043012412090213</v>
      </c>
      <c r="K136" t="n">
        <v>0.7705375751129315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0.1709</v>
      </c>
      <c r="Q136" t="n">
        <v>40</v>
      </c>
      <c r="R136" t="n">
        <v>0.09735000000000001</v>
      </c>
      <c r="S136">
        <f>IMAGE("https://mitra.stanford.edu/kundaje/oak/projects/neuro-variants/variant_position/credible/roussos_2024/variant_figures/roussos_2024.infant.GLU/rs4454488_count_position.png",4,220,900)</f>
        <v/>
      </c>
      <c r="T136">
        <f>IMAGE("https://mitra.stanford.edu/kundaje/oak/projects/neuro-variants/variant_position/credible/roussos_2024/variant_figures/roussos_2024.infant.GLU/rs4454488_profile_position.png",4,220,900)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0.00550902174</v>
      </c>
      <c r="G137" t="n">
        <v>0.641451693570961</v>
      </c>
      <c r="H137" t="n">
        <v>0.0263225116602923</v>
      </c>
      <c r="I137" t="n">
        <v>0.0862264625005371</v>
      </c>
      <c r="J137" t="n">
        <v>0.0039033047465772</v>
      </c>
      <c r="K137" t="n">
        <v>0.7838046492079543</v>
      </c>
      <c r="L137" t="b">
        <v>0</v>
      </c>
      <c r="M137" t="b">
        <v>0</v>
      </c>
      <c r="N137" t="inlineStr">
        <is>
          <t>alt</t>
        </is>
      </c>
      <c r="O137" t="n">
        <v>0</v>
      </c>
      <c r="P137" t="n">
        <v>0</v>
      </c>
      <c r="Q137" t="n">
        <v>-80</v>
      </c>
      <c r="R137" t="n">
        <v>0.04608</v>
      </c>
      <c r="S137">
        <f>IMAGE("https://mitra.stanford.edu/kundaje/oak/projects/neuro-variants/variant_position/credible/roussos_2024/variant_figures/roussos_2024.infant.GLU/rs4369180_count_position.png",4,220,900)</f>
        <v/>
      </c>
      <c r="T137">
        <f>IMAGE("https://mitra.stanford.edu/kundaje/oak/projects/neuro-variants/variant_position/credible/roussos_2024/variant_figures/roussos_2024.infant.GLU/rs4369180_profile_position.png",4,220,900)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0.0253370898</v>
      </c>
      <c r="G138" t="n">
        <v>0.3597607911046639</v>
      </c>
      <c r="H138" t="n">
        <v>0.0360991503369161</v>
      </c>
      <c r="I138" t="n">
        <v>0.0302371688682909</v>
      </c>
      <c r="J138" t="n">
        <v>0.0046396525496593</v>
      </c>
      <c r="K138" t="n">
        <v>0.7670269171309115</v>
      </c>
      <c r="L138" t="b">
        <v>0</v>
      </c>
      <c r="M138" t="b">
        <v>0</v>
      </c>
      <c r="N138" t="inlineStr">
        <is>
          <t>alt</t>
        </is>
      </c>
      <c r="O138" t="n">
        <v>-95</v>
      </c>
      <c r="P138" t="n">
        <v>0.001709</v>
      </c>
      <c r="Q138" t="n">
        <v>-100</v>
      </c>
      <c r="R138" t="n">
        <v>0.000977</v>
      </c>
      <c r="S138">
        <f>IMAGE("https://mitra.stanford.edu/kundaje/oak/projects/neuro-variants/variant_position/credible/roussos_2024/variant_figures/roussos_2024.infant.GLU/rs4633241_count_position.png",4,220,900)</f>
        <v/>
      </c>
      <c r="T138">
        <f>IMAGE("https://mitra.stanford.edu/kundaje/oak/projects/neuro-variants/variant_position/credible/roussos_2024/variant_figures/roussos_2024.infant.GLU/rs4633241_profile_position.png",4,220,900)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-0.0332916584</v>
      </c>
      <c r="G139" t="n">
        <v>0.292567213884725</v>
      </c>
      <c r="H139" t="n">
        <v>0.0124466272704533</v>
      </c>
      <c r="I139" t="n">
        <v>0.5249018978630173</v>
      </c>
      <c r="J139" t="n">
        <v>0.003486628893935</v>
      </c>
      <c r="K139" t="n">
        <v>0.8199229342824218</v>
      </c>
      <c r="L139" t="b">
        <v>0</v>
      </c>
      <c r="M139" t="b">
        <v>0</v>
      </c>
      <c r="N139" t="inlineStr">
        <is>
          <t>ref</t>
        </is>
      </c>
      <c r="O139" t="n">
        <v>-90</v>
      </c>
      <c r="P139" t="n">
        <v>0.010605</v>
      </c>
      <c r="Q139" t="n">
        <v>90</v>
      </c>
      <c r="R139" t="n">
        <v>0.0919</v>
      </c>
      <c r="S139">
        <f>IMAGE("https://mitra.stanford.edu/kundaje/oak/projects/neuro-variants/variant_position/credible/roussos_2024/variant_figures/roussos_2024.infant.GLU/rs10399828_count_position.png",4,220,900)</f>
        <v/>
      </c>
      <c r="T139">
        <f>IMAGE("https://mitra.stanford.edu/kundaje/oak/projects/neuro-variants/variant_position/credible/roussos_2024/variant_figures/roussos_2024.infant.GLU/rs10399828_profile_position.png",4,220,900)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0.01753014042</v>
      </c>
      <c r="G140" t="n">
        <v>0.4945222816222979</v>
      </c>
      <c r="H140" t="n">
        <v>0.0369845755719667</v>
      </c>
      <c r="I140" t="n">
        <v>0.0274778823893202</v>
      </c>
      <c r="J140" t="n">
        <v>0.3823673361405674</v>
      </c>
      <c r="K140" t="n">
        <v>0.0485596795063397</v>
      </c>
      <c r="L140" t="b">
        <v>0</v>
      </c>
      <c r="M140" t="b">
        <v>0</v>
      </c>
      <c r="N140" t="inlineStr">
        <is>
          <t>alt</t>
        </is>
      </c>
      <c r="O140" t="n">
        <v>65</v>
      </c>
      <c r="P140" t="n">
        <v>0.04248</v>
      </c>
      <c r="Q140" t="n">
        <v>100</v>
      </c>
      <c r="R140" t="n">
        <v>0.1992</v>
      </c>
      <c r="S140">
        <f>IMAGE("https://mitra.stanford.edu/kundaje/oak/projects/neuro-variants/variant_position/credible/roussos_2024/variant_figures/roussos_2024.infant.GLU/rs7528640_count_position.png",4,220,900)</f>
        <v/>
      </c>
      <c r="T140">
        <f>IMAGE("https://mitra.stanford.edu/kundaje/oak/projects/neuro-variants/variant_position/credible/roussos_2024/variant_figures/roussos_2024.infant.GLU/rs7528640_profile_position.png",4,220,900)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-0.0037733164</v>
      </c>
      <c r="G141" t="n">
        <v>0.6971774540735305</v>
      </c>
      <c r="H141" t="n">
        <v>0.0350082650469269</v>
      </c>
      <c r="I141" t="n">
        <v>0.0340910427076028</v>
      </c>
      <c r="J141" t="n">
        <v>0.006415485350206</v>
      </c>
      <c r="K141" t="n">
        <v>0.7284578424509309</v>
      </c>
      <c r="L141" t="b">
        <v>0</v>
      </c>
      <c r="M141" t="b">
        <v>0</v>
      </c>
      <c r="N141" t="inlineStr">
        <is>
          <t>ref</t>
        </is>
      </c>
      <c r="O141" t="n">
        <v>100</v>
      </c>
      <c r="P141" t="n">
        <v>0.0767</v>
      </c>
      <c r="Q141" t="n">
        <v>-65</v>
      </c>
      <c r="R141" t="n">
        <v>0.03778</v>
      </c>
      <c r="S141">
        <f>IMAGE("https://mitra.stanford.edu/kundaje/oak/projects/neuro-variants/variant_position/credible/roussos_2024/variant_figures/roussos_2024.infant.GLU/rs11210151_count_position.png",4,220,900)</f>
        <v/>
      </c>
      <c r="T141">
        <f>IMAGE("https://mitra.stanford.edu/kundaje/oak/projects/neuro-variants/variant_position/credible/roussos_2024/variant_figures/roussos_2024.infant.GLU/rs11210151_profile_position.png",4,220,900)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0.01644447832</v>
      </c>
      <c r="G142" t="n">
        <v>0.4971307966848596</v>
      </c>
      <c r="H142" t="n">
        <v>0.014610998674527</v>
      </c>
      <c r="I142" t="n">
        <v>0.3808145910943968</v>
      </c>
      <c r="J142" t="n">
        <v>0.0134218126501906</v>
      </c>
      <c r="K142" t="n">
        <v>0.611415652911133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0.0412</v>
      </c>
      <c r="Q142" t="n">
        <v>100</v>
      </c>
      <c r="R142" t="n">
        <v>0.012634</v>
      </c>
      <c r="S142">
        <f>IMAGE("https://mitra.stanford.edu/kundaje/oak/projects/neuro-variants/variant_position/credible/roussos_2024/variant_figures/roussos_2024.infant.GLU/rs11210155_count_position.png",4,220,900)</f>
        <v/>
      </c>
      <c r="T142">
        <f>IMAGE("https://mitra.stanford.edu/kundaje/oak/projects/neuro-variants/variant_position/credible/roussos_2024/variant_figures/roussos_2024.infant.GLU/rs11210155_profile_position.png",4,220,900)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0.06822196742</v>
      </c>
      <c r="G143" t="n">
        <v>0.1372807754492166</v>
      </c>
      <c r="H143" t="n">
        <v>0.0111367657011246</v>
      </c>
      <c r="I143" t="n">
        <v>0.6094282364741451</v>
      </c>
      <c r="J143" t="n">
        <v>0.07285433982230639</v>
      </c>
      <c r="K143" t="n">
        <v>0.2710448536430452</v>
      </c>
      <c r="L143" t="b">
        <v>0</v>
      </c>
      <c r="M143" t="b">
        <v>0</v>
      </c>
      <c r="N143" t="inlineStr">
        <is>
          <t>alt</t>
        </is>
      </c>
      <c r="O143" t="n">
        <v>100</v>
      </c>
      <c r="P143" t="n">
        <v>0.0641</v>
      </c>
      <c r="Q143" t="n">
        <v>-100</v>
      </c>
      <c r="R143" t="n">
        <v>0.05664</v>
      </c>
      <c r="S143">
        <f>IMAGE("https://mitra.stanford.edu/kundaje/oak/projects/neuro-variants/variant_position/credible/roussos_2024/variant_figures/roussos_2024.infant.GLU/rs11210158_count_position.png",4,220,900)</f>
        <v/>
      </c>
      <c r="T143">
        <f>IMAGE("https://mitra.stanford.edu/kundaje/oak/projects/neuro-variants/variant_position/credible/roussos_2024/variant_figures/roussos_2024.infant.GLU/rs11210158_profile_position.png",4,220,900)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-0.1202198368</v>
      </c>
      <c r="G144" t="n">
        <v>0.036334690358952</v>
      </c>
      <c r="H144" t="n">
        <v>0.0174841906113062</v>
      </c>
      <c r="I144" t="n">
        <v>0.2576476941742231</v>
      </c>
      <c r="J144" t="n">
        <v>0.0589574285147379</v>
      </c>
      <c r="K144" t="n">
        <v>0.3095498012125766</v>
      </c>
      <c r="L144" t="b">
        <v>0</v>
      </c>
      <c r="M144" t="b">
        <v>0</v>
      </c>
      <c r="N144" t="inlineStr">
        <is>
          <t>ref</t>
        </is>
      </c>
      <c r="O144" t="n">
        <v>100</v>
      </c>
      <c r="P144" t="n">
        <v>0.0693</v>
      </c>
      <c r="Q144" t="n">
        <v>-100</v>
      </c>
      <c r="R144" t="n">
        <v>0.07886</v>
      </c>
      <c r="S144">
        <f>IMAGE("https://mitra.stanford.edu/kundaje/oak/projects/neuro-variants/variant_position/credible/roussos_2024/variant_figures/roussos_2024.infant.GLU/rs11210159_count_position.png",4,220,900)</f>
        <v/>
      </c>
      <c r="T144">
        <f>IMAGE("https://mitra.stanford.edu/kundaje/oak/projects/neuro-variants/variant_position/credible/roussos_2024/variant_figures/roussos_2024.infant.GLU/rs11210159_profile_position.png",4,220,900)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0.353017544</v>
      </c>
      <c r="G145" t="n">
        <v>0.0017384515820835</v>
      </c>
      <c r="H145" t="n">
        <v>0.0481212870881803</v>
      </c>
      <c r="I145" t="n">
        <v>0.0092680279810049</v>
      </c>
      <c r="J145" t="n">
        <v>0.4759749994488415</v>
      </c>
      <c r="K145" t="n">
        <v>0.0338764368367965</v>
      </c>
      <c r="L145" t="b">
        <v>1</v>
      </c>
      <c r="M145" t="b">
        <v>1</v>
      </c>
      <c r="N145" t="inlineStr">
        <is>
          <t>alt</t>
        </is>
      </c>
      <c r="O145" t="n">
        <v>5</v>
      </c>
      <c r="P145" t="n">
        <v>0.004456</v>
      </c>
      <c r="Q145" t="n">
        <v>20</v>
      </c>
      <c r="R145" t="n">
        <v>0.02637</v>
      </c>
      <c r="S145">
        <f>IMAGE("https://mitra.stanford.edu/kundaje/oak/projects/neuro-variants/variant_position/credible/roussos_2024/variant_figures/roussos_2024.infant.GLU/rs6666765_count_position.png",4,220,900)</f>
        <v/>
      </c>
      <c r="T145">
        <f>IMAGE("https://mitra.stanford.edu/kundaje/oak/projects/neuro-variants/variant_position/credible/roussos_2024/variant_figures/roussos_2024.infant.GLU/rs6666765_profile_position.png",4,220,900)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0.0009792666999999999</v>
      </c>
      <c r="G146" t="n">
        <v>0.573294259960309</v>
      </c>
      <c r="H146" t="n">
        <v>0.0362305754267502</v>
      </c>
      <c r="I146" t="n">
        <v>0.0305524613904544</v>
      </c>
      <c r="J146" t="n">
        <v>0.0213452677528163</v>
      </c>
      <c r="K146" t="n">
        <v>0.5228493023203881</v>
      </c>
      <c r="L146" t="b">
        <v>0</v>
      </c>
      <c r="M146" t="b">
        <v>0</v>
      </c>
      <c r="N146" t="inlineStr">
        <is>
          <t>alt</t>
        </is>
      </c>
      <c r="O146" t="n">
        <v>55</v>
      </c>
      <c r="P146" t="n">
        <v>0.04907</v>
      </c>
      <c r="Q146" t="n">
        <v>-70</v>
      </c>
      <c r="R146" t="n">
        <v>0.1721</v>
      </c>
      <c r="S146">
        <f>IMAGE("https://mitra.stanford.edu/kundaje/oak/projects/neuro-variants/variant_position/credible/roussos_2024/variant_figures/roussos_2024.infant.GLU/rs11210163_count_position.png",4,220,900)</f>
        <v/>
      </c>
      <c r="T146">
        <f>IMAGE("https://mitra.stanford.edu/kundaje/oak/projects/neuro-variants/variant_position/credible/roussos_2024/variant_figures/roussos_2024.infant.GLU/rs11210163_profile_position.png",4,220,900)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-0.18081772</v>
      </c>
      <c r="G147" t="n">
        <v>0.0133928627253157</v>
      </c>
      <c r="H147" t="n">
        <v>0.0297602642264002</v>
      </c>
      <c r="I147" t="n">
        <v>0.0601203792381919</v>
      </c>
      <c r="J147" t="n">
        <v>0.2771214092021429</v>
      </c>
      <c r="K147" t="n">
        <v>0.0751427854280909</v>
      </c>
      <c r="L147" t="b">
        <v>1</v>
      </c>
      <c r="M147" t="b">
        <v>0</v>
      </c>
      <c r="N147" t="inlineStr">
        <is>
          <t>ref</t>
        </is>
      </c>
      <c r="O147" t="n">
        <v>35</v>
      </c>
      <c r="P147" t="n">
        <v>0.01038</v>
      </c>
      <c r="Q147" t="n">
        <v>100</v>
      </c>
      <c r="R147" t="n">
        <v>0.3179</v>
      </c>
      <c r="S147">
        <f>IMAGE("https://mitra.stanford.edu/kundaje/oak/projects/neuro-variants/variant_position/credible/roussos_2024/variant_figures/roussos_2024.infant.GLU/rs4492565_count_position.png",4,220,900)</f>
        <v/>
      </c>
      <c r="T147">
        <f>IMAGE("https://mitra.stanford.edu/kundaje/oak/projects/neuro-variants/variant_position/credible/roussos_2024/variant_figures/roussos_2024.infant.GLU/rs4492565_profile_position.png",4,220,900)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0.0189128364</v>
      </c>
      <c r="G148" t="n">
        <v>0.4513962596811789</v>
      </c>
      <c r="H148" t="n">
        <v>0.0268300792181085</v>
      </c>
      <c r="I148" t="n">
        <v>0.0814919909923582</v>
      </c>
      <c r="J148" t="n">
        <v>0.0014208867038514</v>
      </c>
      <c r="K148" t="n">
        <v>0.9078026698472712</v>
      </c>
      <c r="L148" t="b">
        <v>0</v>
      </c>
      <c r="M148" t="b">
        <v>0</v>
      </c>
      <c r="N148" t="inlineStr">
        <is>
          <t>alt</t>
        </is>
      </c>
      <c r="O148" t="n">
        <v>100</v>
      </c>
      <c r="P148" t="n">
        <v>0.006107</v>
      </c>
      <c r="Q148" t="n">
        <v>15</v>
      </c>
      <c r="R148" t="n">
        <v>0.02078</v>
      </c>
      <c r="S148">
        <f>IMAGE("https://mitra.stanford.edu/kundaje/oak/projects/neuro-variants/variant_position/credible/roussos_2024/variant_figures/roussos_2024.infant.GLU/rs4650196_count_position.png",4,220,900)</f>
        <v/>
      </c>
      <c r="T148">
        <f>IMAGE("https://mitra.stanford.edu/kundaje/oak/projects/neuro-variants/variant_position/credible/roussos_2024/variant_figures/roussos_2024.infant.GLU/rs4650196_profile_position.png",4,220,900)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-0.0129345247199999</v>
      </c>
      <c r="G149" t="n">
        <v>0.5208711192540444</v>
      </c>
      <c r="H149" t="n">
        <v>0.0188430292962725</v>
      </c>
      <c r="I149" t="n">
        <v>0.2120318997949999</v>
      </c>
      <c r="J149" t="n">
        <v>0.0172523644701161</v>
      </c>
      <c r="K149" t="n">
        <v>0.5713722613385529</v>
      </c>
      <c r="L149" t="b">
        <v>0</v>
      </c>
      <c r="M149" t="b">
        <v>0</v>
      </c>
      <c r="N149" t="inlineStr">
        <is>
          <t>ref</t>
        </is>
      </c>
      <c r="O149" t="n">
        <v>100</v>
      </c>
      <c r="P149" t="n">
        <v>0.005066</v>
      </c>
      <c r="Q149" t="n">
        <v>45</v>
      </c>
      <c r="R149" t="n">
        <v>0.05817</v>
      </c>
      <c r="S149">
        <f>IMAGE("https://mitra.stanford.edu/kundaje/oak/projects/neuro-variants/variant_position/credible/roussos_2024/variant_figures/roussos_2024.infant.GLU/rs6695455_count_position.png",4,220,900)</f>
        <v/>
      </c>
      <c r="T149">
        <f>IMAGE("https://mitra.stanford.edu/kundaje/oak/projects/neuro-variants/variant_position/credible/roussos_2024/variant_figures/roussos_2024.infant.GLU/rs6695455_profile_position.png",4,220,900)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0.0620209602</v>
      </c>
      <c r="G150" t="n">
        <v>0.121303934668295</v>
      </c>
      <c r="H150" t="n">
        <v>0.0159758523407994</v>
      </c>
      <c r="I150" t="n">
        <v>0.3122719208927244</v>
      </c>
      <c r="J150" t="n">
        <v>0.0453371987918604</v>
      </c>
      <c r="K150" t="n">
        <v>0.3599037880340818</v>
      </c>
      <c r="L150" t="b">
        <v>0</v>
      </c>
      <c r="M150" t="b">
        <v>0</v>
      </c>
      <c r="N150" t="inlineStr">
        <is>
          <t>alt</t>
        </is>
      </c>
      <c r="O150" t="n">
        <v>25</v>
      </c>
      <c r="P150" t="n">
        <v>0.02478</v>
      </c>
      <c r="Q150" t="n">
        <v>-30</v>
      </c>
      <c r="R150" t="n">
        <v>0.04956</v>
      </c>
      <c r="S150">
        <f>IMAGE("https://mitra.stanford.edu/kundaje/oak/projects/neuro-variants/variant_position/credible/roussos_2024/variant_figures/roussos_2024.infant.GLU/rs6698500_count_position.png",4,220,900)</f>
        <v/>
      </c>
      <c r="T150">
        <f>IMAGE("https://mitra.stanford.edu/kundaje/oak/projects/neuro-variants/variant_position/credible/roussos_2024/variant_figures/roussos_2024.infant.GLU/rs6698500_profile_position.png",4,220,900)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0.053256194</v>
      </c>
      <c r="G151" t="n">
        <v>0.1527303751304568</v>
      </c>
      <c r="H151" t="n">
        <v>0.009783871406386899</v>
      </c>
      <c r="I151" t="n">
        <v>0.753792230505606</v>
      </c>
      <c r="J151" t="n">
        <v>0.1339756167464009</v>
      </c>
      <c r="K151" t="n">
        <v>0.1759665374324223</v>
      </c>
      <c r="L151" t="b">
        <v>0</v>
      </c>
      <c r="M151" t="b">
        <v>0</v>
      </c>
      <c r="N151" t="inlineStr">
        <is>
          <t>alt</t>
        </is>
      </c>
      <c r="O151" t="n">
        <v>100</v>
      </c>
      <c r="P151" t="n">
        <v>0.01645</v>
      </c>
      <c r="Q151" t="n">
        <v>80</v>
      </c>
      <c r="R151" t="n">
        <v>0.1892</v>
      </c>
      <c r="S151">
        <f>IMAGE("https://mitra.stanford.edu/kundaje/oak/projects/neuro-variants/variant_position/credible/roussos_2024/variant_figures/roussos_2024.infant.GLU/rs12124553_count_position.png",4,220,900)</f>
        <v/>
      </c>
      <c r="T151">
        <f>IMAGE("https://mitra.stanford.edu/kundaje/oak/projects/neuro-variants/variant_position/credible/roussos_2024/variant_figures/roussos_2024.infant.GLU/rs12124553_profile_position.png",4,220,900)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-0.0681378418</v>
      </c>
      <c r="G152" t="n">
        <v>0.1086084083541356</v>
      </c>
      <c r="H152" t="n">
        <v>0.032873700332452</v>
      </c>
      <c r="I152" t="n">
        <v>0.0439429413427685</v>
      </c>
      <c r="J152" t="n">
        <v>0.0045823320619942</v>
      </c>
      <c r="K152" t="n">
        <v>0.7657407932655329</v>
      </c>
      <c r="L152" t="b">
        <v>0</v>
      </c>
      <c r="M152" t="b">
        <v>0</v>
      </c>
      <c r="N152" t="inlineStr">
        <is>
          <t>ref</t>
        </is>
      </c>
      <c r="O152" t="n">
        <v>-20</v>
      </c>
      <c r="P152" t="n">
        <v>0.00821</v>
      </c>
      <c r="Q152" t="n">
        <v>-20</v>
      </c>
      <c r="R152" t="n">
        <v>0.08690000000000001</v>
      </c>
      <c r="S152">
        <f>IMAGE("https://mitra.stanford.edu/kundaje/oak/projects/neuro-variants/variant_position/credible/roussos_2024/variant_figures/roussos_2024.infant.GLU/rs12126688_count_position.png",4,220,900)</f>
        <v/>
      </c>
      <c r="T152">
        <f>IMAGE("https://mitra.stanford.edu/kundaje/oak/projects/neuro-variants/variant_position/credible/roussos_2024/variant_figures/roussos_2024.infant.GLU/rs12126688_profile_position.png",4,220,900)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0.0602476537999999</v>
      </c>
      <c r="G153" t="n">
        <v>0.1229999322613246</v>
      </c>
      <c r="H153" t="n">
        <v>0.0463142715112697</v>
      </c>
      <c r="I153" t="n">
        <v>0.0107147518478302</v>
      </c>
      <c r="J153" t="n">
        <v>0.2819782182146872</v>
      </c>
      <c r="K153" t="n">
        <v>0.07329718005701021</v>
      </c>
      <c r="L153" t="b">
        <v>1</v>
      </c>
      <c r="M153" t="b">
        <v>0</v>
      </c>
      <c r="N153" t="inlineStr">
        <is>
          <t>alt</t>
        </is>
      </c>
      <c r="O153" t="n">
        <v>-100</v>
      </c>
      <c r="P153" t="n">
        <v>0.0343</v>
      </c>
      <c r="Q153" t="n">
        <v>-100</v>
      </c>
      <c r="R153" t="n">
        <v>0.1705</v>
      </c>
      <c r="S153">
        <f>IMAGE("https://mitra.stanford.edu/kundaje/oak/projects/neuro-variants/variant_position/credible/roussos_2024/variant_figures/roussos_2024.infant.GLU/rs4503305_count_position.png",4,220,900)</f>
        <v/>
      </c>
      <c r="T153">
        <f>IMAGE("https://mitra.stanford.edu/kundaje/oak/projects/neuro-variants/variant_position/credible/roussos_2024/variant_figures/roussos_2024.infant.GLU/rs4503305_profile_position.png",4,220,900)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0.048212917</v>
      </c>
      <c r="G154" t="n">
        <v>0.1804508103510119</v>
      </c>
      <c r="H154" t="n">
        <v>0.0103444319555983</v>
      </c>
      <c r="I154" t="n">
        <v>0.6811023053310669</v>
      </c>
      <c r="J154" t="n">
        <v>0.298516281223131</v>
      </c>
      <c r="K154" t="n">
        <v>0.06881698716624481</v>
      </c>
      <c r="L154" t="b">
        <v>0</v>
      </c>
      <c r="M154" t="b">
        <v>0</v>
      </c>
      <c r="N154" t="inlineStr">
        <is>
          <t>alt</t>
        </is>
      </c>
      <c r="O154" t="n">
        <v>-80</v>
      </c>
      <c r="P154" t="n">
        <v>0.01067</v>
      </c>
      <c r="Q154" t="n">
        <v>55</v>
      </c>
      <c r="R154" t="n">
        <v>0.0935</v>
      </c>
      <c r="S154">
        <f>IMAGE("https://mitra.stanford.edu/kundaje/oak/projects/neuro-variants/variant_position/credible/roussos_2024/variant_figures/roussos_2024.infant.GLU/rs4641264_count_position.png",4,220,900)</f>
        <v/>
      </c>
      <c r="T154">
        <f>IMAGE("https://mitra.stanford.edu/kundaje/oak/projects/neuro-variants/variant_position/credible/roussos_2024/variant_figures/roussos_2024.infant.GLU/rs4641264_profile_position.png",4,220,900)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-0.0884052674</v>
      </c>
      <c r="G155" t="n">
        <v>0.0772777332419874</v>
      </c>
      <c r="H155" t="n">
        <v>0.0211016517863859</v>
      </c>
      <c r="I155" t="n">
        <v>0.1657981505655743</v>
      </c>
      <c r="J155" t="n">
        <v>0.2771390462752706</v>
      </c>
      <c r="K155" t="n">
        <v>0.0759438036145305</v>
      </c>
      <c r="L155" t="b">
        <v>0</v>
      </c>
      <c r="M155" t="b">
        <v>0</v>
      </c>
      <c r="N155" t="inlineStr">
        <is>
          <t>ref</t>
        </is>
      </c>
      <c r="O155" t="n">
        <v>95</v>
      </c>
      <c r="P155" t="n">
        <v>0.00838</v>
      </c>
      <c r="Q155" t="n">
        <v>-15</v>
      </c>
      <c r="R155" t="n">
        <v>0.01257</v>
      </c>
      <c r="S155">
        <f>IMAGE("https://mitra.stanford.edu/kundaje/oak/projects/neuro-variants/variant_position/credible/roussos_2024/variant_figures/roussos_2024.infant.GLU/rs4578169_count_position.png",4,220,900)</f>
        <v/>
      </c>
      <c r="T155">
        <f>IMAGE("https://mitra.stanford.edu/kundaje/oak/projects/neuro-variants/variant_position/credible/roussos_2024/variant_figures/roussos_2024.infant.GLU/rs4578169_profile_position.png",4,220,900)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0.0483113668</v>
      </c>
      <c r="G156" t="n">
        <v>0.1739185639782922</v>
      </c>
      <c r="H156" t="n">
        <v>0.0101534406359064</v>
      </c>
      <c r="I156" t="n">
        <v>0.7119831233077594</v>
      </c>
      <c r="J156" t="n">
        <v>0.300395731828303</v>
      </c>
      <c r="K156" t="n">
        <v>0.0686988544633446</v>
      </c>
      <c r="L156" t="b">
        <v>0</v>
      </c>
      <c r="M156" t="b">
        <v>0</v>
      </c>
      <c r="N156" t="inlineStr">
        <is>
          <t>alt</t>
        </is>
      </c>
      <c r="O156" t="n">
        <v>100</v>
      </c>
      <c r="P156" t="n">
        <v>0.01659</v>
      </c>
      <c r="Q156" t="n">
        <v>-60</v>
      </c>
      <c r="R156" t="n">
        <v>0.0537</v>
      </c>
      <c r="S156">
        <f>IMAGE("https://mitra.stanford.edu/kundaje/oak/projects/neuro-variants/variant_position/credible/roussos_2024/variant_figures/roussos_2024.infant.GLU/rs7514409_count_position.png",4,220,900)</f>
        <v/>
      </c>
      <c r="T156">
        <f>IMAGE("https://mitra.stanford.edu/kundaje/oak/projects/neuro-variants/variant_position/credible/roussos_2024/variant_figures/roussos_2024.infant.GLU/rs7514409_profile_position.png",4,220,900)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0.0238937348</v>
      </c>
      <c r="G157" t="n">
        <v>0.3859163697711464</v>
      </c>
      <c r="H157" t="n">
        <v>0.0081943592242347</v>
      </c>
      <c r="I157" t="n">
        <v>0.8971486893493297</v>
      </c>
      <c r="J157" t="n">
        <v>0.0278301990784628</v>
      </c>
      <c r="K157" t="n">
        <v>0.476488235100082</v>
      </c>
      <c r="L157" t="b">
        <v>0</v>
      </c>
      <c r="M157" t="b">
        <v>0</v>
      </c>
      <c r="N157" t="inlineStr">
        <is>
          <t>alt</t>
        </is>
      </c>
      <c r="O157" t="n">
        <v>-95</v>
      </c>
      <c r="P157" t="n">
        <v>0.03738</v>
      </c>
      <c r="Q157" t="n">
        <v>-75</v>
      </c>
      <c r="R157" t="n">
        <v>0.1167</v>
      </c>
      <c r="S157">
        <f>IMAGE("https://mitra.stanford.edu/kundaje/oak/projects/neuro-variants/variant_position/credible/roussos_2024/variant_figures/roussos_2024.infant.GLU/rs4074990_count_position.png",4,220,900)</f>
        <v/>
      </c>
      <c r="T157">
        <f>IMAGE("https://mitra.stanford.edu/kundaje/oak/projects/neuro-variants/variant_position/credible/roussos_2024/variant_figures/roussos_2024.infant.GLU/rs4074990_profile_position.png",4,220,900)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0.1516226134</v>
      </c>
      <c r="G158" t="n">
        <v>0.0236198095569002</v>
      </c>
      <c r="H158" t="n">
        <v>0.0321234974561942</v>
      </c>
      <c r="I158" t="n">
        <v>0.0469446285986126</v>
      </c>
      <c r="J158" t="n">
        <v>0.3091613571727771</v>
      </c>
      <c r="K158" t="n">
        <v>0.0653252252517872</v>
      </c>
      <c r="L158" t="b">
        <v>0</v>
      </c>
      <c r="M158" t="b">
        <v>0</v>
      </c>
      <c r="N158" t="inlineStr">
        <is>
          <t>alt</t>
        </is>
      </c>
      <c r="O158" t="n">
        <v>15</v>
      </c>
      <c r="P158" t="n">
        <v>0.004803</v>
      </c>
      <c r="Q158" t="n">
        <v>-100</v>
      </c>
      <c r="R158" t="n">
        <v>0.1658</v>
      </c>
      <c r="S158">
        <f>IMAGE("https://mitra.stanford.edu/kundaje/oak/projects/neuro-variants/variant_position/credible/roussos_2024/variant_figures/roussos_2024.infant.GLU/rs6424546_count_position.png",4,220,900)</f>
        <v/>
      </c>
      <c r="T158">
        <f>IMAGE("https://mitra.stanford.edu/kundaje/oak/projects/neuro-variants/variant_position/credible/roussos_2024/variant_figures/roussos_2024.infant.GLU/rs6424546_profile_position.png",4,220,900)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-0.0335485029999999</v>
      </c>
      <c r="G159" t="n">
        <v>0.2859898632308442</v>
      </c>
      <c r="H159" t="n">
        <v>0.0132203674610084</v>
      </c>
      <c r="I159" t="n">
        <v>0.4667325956425054</v>
      </c>
      <c r="J159" t="n">
        <v>0.0512643576798429</v>
      </c>
      <c r="K159" t="n">
        <v>0.3360018867404872</v>
      </c>
      <c r="L159" t="b">
        <v>0</v>
      </c>
      <c r="M159" t="b">
        <v>0</v>
      </c>
      <c r="N159" t="inlineStr">
        <is>
          <t>ref</t>
        </is>
      </c>
      <c r="O159" t="n">
        <v>-15</v>
      </c>
      <c r="P159" t="n">
        <v>0.001556</v>
      </c>
      <c r="Q159" t="n">
        <v>-100</v>
      </c>
      <c r="R159" t="n">
        <v>0.2769</v>
      </c>
      <c r="S159">
        <f>IMAGE("https://mitra.stanford.edu/kundaje/oak/projects/neuro-variants/variant_position/credible/roussos_2024/variant_figures/roussos_2024.infant.GLU/rs11210207_count_position.png",4,220,900)</f>
        <v/>
      </c>
      <c r="T159">
        <f>IMAGE("https://mitra.stanford.edu/kundaje/oak/projects/neuro-variants/variant_position/credible/roussos_2024/variant_figures/roussos_2024.infant.GLU/rs11210207_profile_position.png",4,220,900)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-0.0737375564</v>
      </c>
      <c r="G160" t="n">
        <v>0.1022526098020175</v>
      </c>
      <c r="H160" t="n">
        <v>0.0336102975995425</v>
      </c>
      <c r="I160" t="n">
        <v>0.0396693153107239</v>
      </c>
      <c r="J160" t="n">
        <v>0.0428481668467117</v>
      </c>
      <c r="K160" t="n">
        <v>0.3723315481568048</v>
      </c>
      <c r="L160" t="b">
        <v>0</v>
      </c>
      <c r="M160" t="b">
        <v>0</v>
      </c>
      <c r="N160" t="inlineStr">
        <is>
          <t>ref</t>
        </is>
      </c>
      <c r="O160" t="n">
        <v>-100</v>
      </c>
      <c r="P160" t="n">
        <v>0.01401</v>
      </c>
      <c r="Q160" t="n">
        <v>-55</v>
      </c>
      <c r="R160" t="n">
        <v>0.05194</v>
      </c>
      <c r="S160">
        <f>IMAGE("https://mitra.stanford.edu/kundaje/oak/projects/neuro-variants/variant_position/credible/roussos_2024/variant_figures/roussos_2024.infant.GLU/rs7517355_count_position.png",4,220,900)</f>
        <v/>
      </c>
      <c r="T160">
        <f>IMAGE("https://mitra.stanford.edu/kundaje/oak/projects/neuro-variants/variant_position/credible/roussos_2024/variant_figures/roussos_2024.infant.GLU/rs7517355_profile_position.png",4,220,900)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0.009008220359999999</v>
      </c>
      <c r="G161" t="n">
        <v>0.6504352041485691</v>
      </c>
      <c r="H161" t="n">
        <v>0.0531351743771208</v>
      </c>
      <c r="I161" t="n">
        <v>0.0058479553937256</v>
      </c>
      <c r="J161" t="n">
        <v>0.1460228400097003</v>
      </c>
      <c r="K161" t="n">
        <v>0.1491767422611791</v>
      </c>
      <c r="L161" t="b">
        <v>1</v>
      </c>
      <c r="M161" t="b">
        <v>1</v>
      </c>
      <c r="N161" t="inlineStr">
        <is>
          <t>alt</t>
        </is>
      </c>
      <c r="O161" t="n">
        <v>-85</v>
      </c>
      <c r="P161" t="n">
        <v>0.02832</v>
      </c>
      <c r="Q161" t="n">
        <v>-100</v>
      </c>
      <c r="R161" t="n">
        <v>0.2059</v>
      </c>
      <c r="S161">
        <f>IMAGE("https://mitra.stanford.edu/kundaje/oak/projects/neuro-variants/variant_position/credible/roussos_2024/variant_figures/roussos_2024.infant.GLU/rs10732841_count_position.png",4,220,900)</f>
        <v/>
      </c>
      <c r="T161">
        <f>IMAGE("https://mitra.stanford.edu/kundaje/oak/projects/neuro-variants/variant_position/credible/roussos_2024/variant_figures/roussos_2024.infant.GLU/rs10732841_profile_position.png",4,220,900)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0.0251355032368</v>
      </c>
      <c r="G162" t="n">
        <v>0.3938228682549795</v>
      </c>
      <c r="H162" t="n">
        <v>0.0116324478086195</v>
      </c>
      <c r="I162" t="n">
        <v>0.5778181836144259</v>
      </c>
      <c r="J162" t="n">
        <v>0.0536211115765338</v>
      </c>
      <c r="K162" t="n">
        <v>0.3558547741008961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0.00656</v>
      </c>
      <c r="Q162" t="n">
        <v>-100</v>
      </c>
      <c r="R162" t="n">
        <v>0.0951</v>
      </c>
      <c r="S162">
        <f>IMAGE("https://mitra.stanford.edu/kundaje/oak/projects/neuro-variants/variant_position/credible/roussos_2024/variant_figures/roussos_2024.infant.GLU/rs1885247_count_position.png",4,220,900)</f>
        <v/>
      </c>
      <c r="T162">
        <f>IMAGE("https://mitra.stanford.edu/kundaje/oak/projects/neuro-variants/variant_position/credible/roussos_2024/variant_figures/roussos_2024.infant.GLU/rs1885247_profile_position.png",4,220,900)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-0.0552449222</v>
      </c>
      <c r="G163" t="n">
        <v>0.1503803960356966</v>
      </c>
      <c r="H163" t="n">
        <v>0.0146663055508278</v>
      </c>
      <c r="I163" t="n">
        <v>0.3773340943710596</v>
      </c>
      <c r="J163" t="n">
        <v>0.003141603650874</v>
      </c>
      <c r="K163" t="n">
        <v>0.8311054877680063</v>
      </c>
      <c r="L163" t="b">
        <v>0</v>
      </c>
      <c r="M163" t="b">
        <v>0</v>
      </c>
      <c r="N163" t="inlineStr">
        <is>
          <t>ref</t>
        </is>
      </c>
      <c r="O163" t="n">
        <v>-50</v>
      </c>
      <c r="P163" t="n">
        <v>0.002716</v>
      </c>
      <c r="Q163" t="n">
        <v>-95</v>
      </c>
      <c r="R163" t="n">
        <v>0.1093</v>
      </c>
      <c r="S163">
        <f>IMAGE("https://mitra.stanford.edu/kundaje/oak/projects/neuro-variants/variant_position/credible/roussos_2024/variant_figures/roussos_2024.infant.GLU/rs2208565_count_position.png",4,220,900)</f>
        <v/>
      </c>
      <c r="T163">
        <f>IMAGE("https://mitra.stanford.edu/kundaje/oak/projects/neuro-variants/variant_position/credible/roussos_2024/variant_figures/roussos_2024.infant.GLU/rs2208565_profile_position.png",4,220,900)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0.0790260106</v>
      </c>
      <c r="G164" t="n">
        <v>0.0813501365366474</v>
      </c>
      <c r="H164" t="n">
        <v>0.008855331134803</v>
      </c>
      <c r="I164" t="n">
        <v>0.8225968236416316</v>
      </c>
      <c r="J164" t="n">
        <v>0.0225357701889371</v>
      </c>
      <c r="K164" t="n">
        <v>0.5170283070151311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0.03625</v>
      </c>
      <c r="Q164" t="n">
        <v>-60</v>
      </c>
      <c r="R164" t="n">
        <v>0.274</v>
      </c>
      <c r="S164">
        <f>IMAGE("https://mitra.stanford.edu/kundaje/oak/projects/neuro-variants/variant_position/credible/roussos_2024/variant_figures/roussos_2024.infant.GLU/rs2340399_count_position.png",4,220,900)</f>
        <v/>
      </c>
      <c r="T164">
        <f>IMAGE("https://mitra.stanford.edu/kundaje/oak/projects/neuro-variants/variant_position/credible/roussos_2024/variant_figures/roussos_2024.infant.GLU/rs2340399_profile_position.png",4,220,900)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-0.07796562999999999</v>
      </c>
      <c r="G165" t="n">
        <v>0.08015128138361011</v>
      </c>
      <c r="H165" t="n">
        <v>0.0116734074603436</v>
      </c>
      <c r="I165" t="n">
        <v>0.5858306996968377</v>
      </c>
      <c r="J165" t="n">
        <v>0.012565312286426</v>
      </c>
      <c r="K165" t="n">
        <v>0.6236476481486308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0.1558</v>
      </c>
      <c r="Q165" t="n">
        <v>95</v>
      </c>
      <c r="R165" t="n">
        <v>0.0772</v>
      </c>
      <c r="S165">
        <f>IMAGE("https://mitra.stanford.edu/kundaje/oak/projects/neuro-variants/variant_position/credible/roussos_2024/variant_figures/roussos_2024.infant.GLU/rs10890034_count_position.png",4,220,900)</f>
        <v/>
      </c>
      <c r="T165">
        <f>IMAGE("https://mitra.stanford.edu/kundaje/oak/projects/neuro-variants/variant_position/credible/roussos_2024/variant_figures/roussos_2024.infant.GLU/rs10890034_profile_position.png",4,220,900)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-0.00335199786</v>
      </c>
      <c r="G166" t="n">
        <v>0.7569232975709304</v>
      </c>
      <c r="H166" t="n">
        <v>0.0060972391677982</v>
      </c>
      <c r="I166" t="n">
        <v>0.9892728636880131</v>
      </c>
      <c r="J166" t="n">
        <v>0.0035560748693753</v>
      </c>
      <c r="K166" t="n">
        <v>0.7951001274691423</v>
      </c>
      <c r="L166" t="b">
        <v>0</v>
      </c>
      <c r="M166" t="b">
        <v>0</v>
      </c>
      <c r="N166" t="inlineStr">
        <is>
          <t>ref</t>
        </is>
      </c>
      <c r="O166" t="n">
        <v>95</v>
      </c>
      <c r="P166" t="n">
        <v>0.02951</v>
      </c>
      <c r="Q166" t="n">
        <v>-100</v>
      </c>
      <c r="R166" t="n">
        <v>0.02448</v>
      </c>
      <c r="S166">
        <f>IMAGE("https://mitra.stanford.edu/kundaje/oak/projects/neuro-variants/variant_position/credible/roussos_2024/variant_figures/roussos_2024.infant.GLU/rs6689032_count_position.png",4,220,900)</f>
        <v/>
      </c>
      <c r="T166">
        <f>IMAGE("https://mitra.stanford.edu/kundaje/oak/projects/neuro-variants/variant_position/credible/roussos_2024/variant_figures/roussos_2024.infant.GLU/rs6689032_profile_position.png",4,220,900)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0.0543204583999999</v>
      </c>
      <c r="G167" t="n">
        <v>0.1452987922944508</v>
      </c>
      <c r="H167" t="n">
        <v>0.035912261077577</v>
      </c>
      <c r="I167" t="n">
        <v>0.0307777326828925</v>
      </c>
      <c r="J167" t="n">
        <v>0.5535549725523048</v>
      </c>
      <c r="K167" t="n">
        <v>0.0252574093588161</v>
      </c>
      <c r="L167" t="b">
        <v>0</v>
      </c>
      <c r="M167" t="b">
        <v>0</v>
      </c>
      <c r="N167" t="inlineStr">
        <is>
          <t>alt</t>
        </is>
      </c>
      <c r="O167" t="n">
        <v>-50</v>
      </c>
      <c r="P167" t="n">
        <v>0.052</v>
      </c>
      <c r="Q167" t="n">
        <v>-45</v>
      </c>
      <c r="R167" t="n">
        <v>0.534</v>
      </c>
      <c r="S167">
        <f>IMAGE("https://mitra.stanford.edu/kundaje/oak/projects/neuro-variants/variant_position/credible/roussos_2024/variant_figures/roussos_2024.infant.GLU/rs1923228_count_position.png",4,220,900)</f>
        <v/>
      </c>
      <c r="T167">
        <f>IMAGE("https://mitra.stanford.edu/kundaje/oak/projects/neuro-variants/variant_position/credible/roussos_2024/variant_figures/roussos_2024.infant.GLU/rs1923228_profile_position.png",4,220,900)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0.009454731399999999</v>
      </c>
      <c r="G168" t="n">
        <v>0.5205229720850165</v>
      </c>
      <c r="H168" t="n">
        <v>0.0323120932058433</v>
      </c>
      <c r="I168" t="n">
        <v>0.0453029252376398</v>
      </c>
      <c r="J168" t="n">
        <v>0.0011805815824863</v>
      </c>
      <c r="K168" t="n">
        <v>0.8942879018676253</v>
      </c>
      <c r="L168" t="b">
        <v>0</v>
      </c>
      <c r="M168" t="b">
        <v>0</v>
      </c>
      <c r="N168" t="inlineStr">
        <is>
          <t>alt</t>
        </is>
      </c>
      <c r="O168" t="n">
        <v>30</v>
      </c>
      <c r="P168" t="n">
        <v>0.01141</v>
      </c>
      <c r="Q168" t="n">
        <v>20</v>
      </c>
      <c r="R168" t="n">
        <v>0.01165</v>
      </c>
      <c r="S168">
        <f>IMAGE("https://mitra.stanford.edu/kundaje/oak/projects/neuro-variants/variant_position/credible/roussos_2024/variant_figures/roussos_2024.infant.GLU/rs11210227_count_position.png",4,220,900)</f>
        <v/>
      </c>
      <c r="T168">
        <f>IMAGE("https://mitra.stanford.edu/kundaje/oak/projects/neuro-variants/variant_position/credible/roussos_2024/variant_figures/roussos_2024.infant.GLU/rs11210227_profile_position.png",4,220,900)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0.0712863082</v>
      </c>
      <c r="G169" t="n">
        <v>0.1097365855496969</v>
      </c>
      <c r="H169" t="n">
        <v>0.0474826147241449</v>
      </c>
      <c r="I169" t="n">
        <v>0.0096342597013351</v>
      </c>
      <c r="J169" t="n">
        <v>0.1294814700500451</v>
      </c>
      <c r="K169" t="n">
        <v>0.1689296592957352</v>
      </c>
      <c r="L169" t="b">
        <v>1</v>
      </c>
      <c r="M169" t="b">
        <v>1</v>
      </c>
      <c r="N169" t="inlineStr">
        <is>
          <t>alt</t>
        </is>
      </c>
      <c r="O169" t="n">
        <v>-55</v>
      </c>
      <c r="P169" t="n">
        <v>0.04926</v>
      </c>
      <c r="Q169" t="n">
        <v>90</v>
      </c>
      <c r="R169" t="n">
        <v>0.1589</v>
      </c>
      <c r="S169">
        <f>IMAGE("https://mitra.stanford.edu/kundaje/oak/projects/neuro-variants/variant_position/credible/roussos_2024/variant_figures/roussos_2024.infant.GLU/rs55994666_count_position.png",4,220,900)</f>
        <v/>
      </c>
      <c r="T169">
        <f>IMAGE("https://mitra.stanford.edu/kundaje/oak/projects/neuro-variants/variant_position/credible/roussos_2024/variant_figures/roussos_2024.infant.GLU/rs55994666_profile_position.png",4,220,900)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0.0461160548</v>
      </c>
      <c r="G170" t="n">
        <v>0.1965127687672636</v>
      </c>
      <c r="H170" t="n">
        <v>0.0323944812370031</v>
      </c>
      <c r="I170" t="n">
        <v>0.0455264967223799</v>
      </c>
      <c r="J170" t="n">
        <v>0.0167904936175841</v>
      </c>
      <c r="K170" t="n">
        <v>0.5764355589466098</v>
      </c>
      <c r="L170" t="b">
        <v>0</v>
      </c>
      <c r="M170" t="b">
        <v>0</v>
      </c>
      <c r="N170" t="inlineStr">
        <is>
          <t>alt</t>
        </is>
      </c>
      <c r="O170" t="n">
        <v>-60</v>
      </c>
      <c r="P170" t="n">
        <v>0.01416</v>
      </c>
      <c r="Q170" t="n">
        <v>90</v>
      </c>
      <c r="R170" t="n">
        <v>0.06055</v>
      </c>
      <c r="S170">
        <f>IMAGE("https://mitra.stanford.edu/kundaje/oak/projects/neuro-variants/variant_position/credible/roussos_2024/variant_figures/roussos_2024.infant.GLU/rs11210258_count_position.png",4,220,900)</f>
        <v/>
      </c>
      <c r="T170">
        <f>IMAGE("https://mitra.stanford.edu/kundaje/oak/projects/neuro-variants/variant_position/credible/roussos_2024/variant_figures/roussos_2024.infant.GLU/rs11210258_profile_position.png",4,220,900)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-0.0123249544399999</v>
      </c>
      <c r="G171" t="n">
        <v>0.5893480733705463</v>
      </c>
      <c r="H171" t="n">
        <v>0.0394405345114824</v>
      </c>
      <c r="I171" t="n">
        <v>0.0214628841095348</v>
      </c>
      <c r="J171" t="n">
        <v>0.0263288432284662</v>
      </c>
      <c r="K171" t="n">
        <v>0.4776044586185629</v>
      </c>
      <c r="L171" t="b">
        <v>0</v>
      </c>
      <c r="M171" t="b">
        <v>0</v>
      </c>
      <c r="N171" t="inlineStr">
        <is>
          <t>ref</t>
        </is>
      </c>
      <c r="O171" t="n">
        <v>-50</v>
      </c>
      <c r="P171" t="n">
        <v>0.0525</v>
      </c>
      <c r="Q171" t="n">
        <v>-100</v>
      </c>
      <c r="R171" t="n">
        <v>0.08400000000000001</v>
      </c>
      <c r="S171">
        <f>IMAGE("https://mitra.stanford.edu/kundaje/oak/projects/neuro-variants/variant_position/credible/roussos_2024/variant_figures/roussos_2024.infant.GLU/rs1546271_count_position.png",4,220,900)</f>
        <v/>
      </c>
      <c r="T171">
        <f>IMAGE("https://mitra.stanford.edu/kundaje/oak/projects/neuro-variants/variant_position/credible/roussos_2024/variant_figures/roussos_2024.infant.GLU/rs1546271_profile_position.png",4,220,900)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-0.0961042354</v>
      </c>
      <c r="G172" t="n">
        <v>0.0632066501713104</v>
      </c>
      <c r="H172" t="n">
        <v>0.0185184771815775</v>
      </c>
      <c r="I172" t="n">
        <v>0.2249757107700689</v>
      </c>
      <c r="J172" t="n">
        <v>0.5641857183800348</v>
      </c>
      <c r="K172" t="n">
        <v>0.024391680423222</v>
      </c>
      <c r="L172" t="b">
        <v>0</v>
      </c>
      <c r="M172" t="b">
        <v>0</v>
      </c>
      <c r="N172" t="inlineStr">
        <is>
          <t>ref</t>
        </is>
      </c>
      <c r="O172" t="n">
        <v>-35</v>
      </c>
      <c r="P172" t="n">
        <v>0.003418</v>
      </c>
      <c r="Q172" t="n">
        <v>100</v>
      </c>
      <c r="R172" t="n">
        <v>0.2876</v>
      </c>
      <c r="S172">
        <f>IMAGE("https://mitra.stanford.edu/kundaje/oak/projects/neuro-variants/variant_position/credible/roussos_2024/variant_figures/roussos_2024.infant.GLU/rs11210274_count_position.png",4,220,900)</f>
        <v/>
      </c>
      <c r="T172">
        <f>IMAGE("https://mitra.stanford.edu/kundaje/oak/projects/neuro-variants/variant_position/credible/roussos_2024/variant_figures/roussos_2024.infant.GLU/rs11210274_profile_position.png",4,220,900)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0.0196201228</v>
      </c>
      <c r="G173" t="n">
        <v>0.4408109720126704</v>
      </c>
      <c r="H173" t="n">
        <v>0.0451974182955327</v>
      </c>
      <c r="I173" t="n">
        <v>0.0120077147900295</v>
      </c>
      <c r="J173" t="n">
        <v>0.1845036266231618</v>
      </c>
      <c r="K173" t="n">
        <v>0.1205099296593781</v>
      </c>
      <c r="L173" t="b">
        <v>1</v>
      </c>
      <c r="M173" t="b">
        <v>0</v>
      </c>
      <c r="N173" t="inlineStr">
        <is>
          <t>alt</t>
        </is>
      </c>
      <c r="O173" t="n">
        <v>-100</v>
      </c>
      <c r="P173" t="n">
        <v>0.05316</v>
      </c>
      <c r="Q173" t="n">
        <v>-100</v>
      </c>
      <c r="R173" t="n">
        <v>0.05093</v>
      </c>
      <c r="S173">
        <f>IMAGE("https://mitra.stanford.edu/kundaje/oak/projects/neuro-variants/variant_position/credible/roussos_2024/variant_figures/roussos_2024.infant.GLU/rs12042444_count_position.png",4,220,900)</f>
        <v/>
      </c>
      <c r="T173">
        <f>IMAGE("https://mitra.stanford.edu/kundaje/oak/projects/neuro-variants/variant_position/credible/roussos_2024/variant_figures/roussos_2024.infant.GLU/rs12042444_profile_position.png",4,220,900)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-0.183478808</v>
      </c>
      <c r="G174" t="n">
        <v>0.0129840651292524</v>
      </c>
      <c r="H174" t="n">
        <v>0.0386456231213914</v>
      </c>
      <c r="I174" t="n">
        <v>0.0231819697094752</v>
      </c>
      <c r="J174" t="n">
        <v>0.0494587623183932</v>
      </c>
      <c r="K174" t="n">
        <v>0.3425859956421955</v>
      </c>
      <c r="L174" t="b">
        <v>1</v>
      </c>
      <c r="M174" t="b">
        <v>0</v>
      </c>
      <c r="N174" t="inlineStr">
        <is>
          <t>ref</t>
        </is>
      </c>
      <c r="O174" t="n">
        <v>-10</v>
      </c>
      <c r="P174" t="n">
        <v>0.004456</v>
      </c>
      <c r="Q174" t="n">
        <v>-15</v>
      </c>
      <c r="R174" t="n">
        <v>0.08840000000000001</v>
      </c>
      <c r="S174">
        <f>IMAGE("https://mitra.stanford.edu/kundaje/oak/projects/neuro-variants/variant_position/credible/roussos_2024/variant_figures/roussos_2024.infant.GLU/rs5006353_count_position.png",4,220,900)</f>
        <v/>
      </c>
      <c r="T174">
        <f>IMAGE("https://mitra.stanford.edu/kundaje/oak/projects/neuro-variants/variant_position/credible/roussos_2024/variant_figures/roussos_2024.infant.GLU/rs5006353_profile_position.png",4,220,900)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-0.0209493441999999</v>
      </c>
      <c r="G175" t="n">
        <v>0.448964857639003</v>
      </c>
      <c r="H175" t="n">
        <v>0.0450115315544679</v>
      </c>
      <c r="I175" t="n">
        <v>0.0123925823466999</v>
      </c>
      <c r="J175" t="n">
        <v>0.4303997001697568</v>
      </c>
      <c r="K175" t="n">
        <v>0.040203955020191</v>
      </c>
      <c r="L175" t="b">
        <v>1</v>
      </c>
      <c r="M175" t="b">
        <v>0</v>
      </c>
      <c r="N175" t="inlineStr">
        <is>
          <t>ref</t>
        </is>
      </c>
      <c r="O175" t="n">
        <v>95</v>
      </c>
      <c r="P175" t="n">
        <v>0.0665</v>
      </c>
      <c r="Q175" t="n">
        <v>100</v>
      </c>
      <c r="R175" t="n">
        <v>0.5</v>
      </c>
      <c r="S175">
        <f>IMAGE("https://mitra.stanford.edu/kundaje/oak/projects/neuro-variants/variant_position/credible/roussos_2024/variant_figures/roussos_2024.infant.GLU/rs17577938_count_position.png",4,220,900)</f>
        <v/>
      </c>
      <c r="T175">
        <f>IMAGE("https://mitra.stanford.edu/kundaje/oak/projects/neuro-variants/variant_position/credible/roussos_2024/variant_figures/roussos_2024.infant.GLU/rs17577938_profile_position.png",4,220,900)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-0.01827053216</v>
      </c>
      <c r="G176" t="n">
        <v>0.4912926442904996</v>
      </c>
      <c r="H176" t="n">
        <v>0.0114216095952327</v>
      </c>
      <c r="I176" t="n">
        <v>0.6111370914173543</v>
      </c>
      <c r="J176" t="n">
        <v>0.3084194977843427</v>
      </c>
      <c r="K176" t="n">
        <v>0.0656905560030837</v>
      </c>
      <c r="L176" t="b">
        <v>0</v>
      </c>
      <c r="M176" t="b">
        <v>0</v>
      </c>
      <c r="N176" t="inlineStr">
        <is>
          <t>ref</t>
        </is>
      </c>
      <c r="O176" t="n">
        <v>-40</v>
      </c>
      <c r="P176" t="n">
        <v>0.04138</v>
      </c>
      <c r="Q176" t="n">
        <v>-40</v>
      </c>
      <c r="R176" t="n">
        <v>0.10596</v>
      </c>
      <c r="S176">
        <f>IMAGE("https://mitra.stanford.edu/kundaje/oak/projects/neuro-variants/variant_position/credible/roussos_2024/variant_figures/roussos_2024.infant.GLU/rs761406_count_position.png",4,220,900)</f>
        <v/>
      </c>
      <c r="T176">
        <f>IMAGE("https://mitra.stanford.edu/kundaje/oak/projects/neuro-variants/variant_position/credible/roussos_2024/variant_figures/roussos_2024.infant.GLU/rs761406_profile_position.png",4,220,900)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0.0304525895999999</v>
      </c>
      <c r="G177" t="n">
        <v>0.3111477490352392</v>
      </c>
      <c r="H177" t="n">
        <v>0.0130600001678328</v>
      </c>
      <c r="I177" t="n">
        <v>0.4805647176852842</v>
      </c>
      <c r="J177" t="n">
        <v>0.074549703476708</v>
      </c>
      <c r="K177" t="n">
        <v>0.271617297070993</v>
      </c>
      <c r="L177" t="b">
        <v>0</v>
      </c>
      <c r="M177" t="b">
        <v>0</v>
      </c>
      <c r="N177" t="inlineStr">
        <is>
          <t>alt</t>
        </is>
      </c>
      <c r="O177" t="n">
        <v>70</v>
      </c>
      <c r="P177" t="n">
        <v>0.02023</v>
      </c>
      <c r="Q177" t="n">
        <v>-35</v>
      </c>
      <c r="R177" t="n">
        <v>0.03967</v>
      </c>
      <c r="S177">
        <f>IMAGE("https://mitra.stanford.edu/kundaje/oak/projects/neuro-variants/variant_position/credible/roussos_2024/variant_figures/roussos_2024.infant.GLU/rs12756558_count_position.png",4,220,900)</f>
        <v/>
      </c>
      <c r="T177">
        <f>IMAGE("https://mitra.stanford.edu/kundaje/oak/projects/neuro-variants/variant_position/credible/roussos_2024/variant_figures/roussos_2024.infant.GLU/rs12756558_profile_position.png",4,220,900)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0.129796762</v>
      </c>
      <c r="G178" t="n">
        <v>0.0288712797027215</v>
      </c>
      <c r="H178" t="n">
        <v>0.0240039622978202</v>
      </c>
      <c r="I178" t="n">
        <v>0.1130283227202603</v>
      </c>
      <c r="J178" t="n">
        <v>0.1446162834277651</v>
      </c>
      <c r="K178" t="n">
        <v>0.1506524527229592</v>
      </c>
      <c r="L178" t="b">
        <v>0</v>
      </c>
      <c r="M178" t="b">
        <v>0</v>
      </c>
      <c r="N178" t="inlineStr">
        <is>
          <t>alt</t>
        </is>
      </c>
      <c r="O178" t="n">
        <v>-100</v>
      </c>
      <c r="P178" t="n">
        <v>0.02615</v>
      </c>
      <c r="Q178" t="n">
        <v>-95</v>
      </c>
      <c r="R178" t="n">
        <v>0.2324</v>
      </c>
      <c r="S178">
        <f>IMAGE("https://mitra.stanford.edu/kundaje/oak/projects/neuro-variants/variant_position/credible/roussos_2024/variant_figures/roussos_2024.infant.GLU/rs12071951_count_position.png",4,220,900)</f>
        <v/>
      </c>
      <c r="T178">
        <f>IMAGE("https://mitra.stanford.edu/kundaje/oak/projects/neuro-variants/variant_position/credible/roussos_2024/variant_figures/roussos_2024.infant.GLU/rs12071951_profile_position.png",4,220,900)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-0.00470124438</v>
      </c>
      <c r="G179" t="n">
        <v>0.7767269342239539</v>
      </c>
      <c r="H179" t="n">
        <v>0.0101513882005948</v>
      </c>
      <c r="I179" t="n">
        <v>0.7153589094760608</v>
      </c>
      <c r="J179" t="n">
        <v>0.00345245706475</v>
      </c>
      <c r="K179" t="n">
        <v>0.8209399109228476</v>
      </c>
      <c r="L179" t="b">
        <v>0</v>
      </c>
      <c r="M179" t="b">
        <v>0</v>
      </c>
      <c r="N179" t="inlineStr">
        <is>
          <t>ref</t>
        </is>
      </c>
      <c r="O179" t="n">
        <v>-50</v>
      </c>
      <c r="P179" t="n">
        <v>0.006718</v>
      </c>
      <c r="Q179" t="n">
        <v>-95</v>
      </c>
      <c r="R179" t="n">
        <v>0.09283</v>
      </c>
      <c r="S179">
        <f>IMAGE("https://mitra.stanford.edu/kundaje/oak/projects/neuro-variants/variant_position/credible/roussos_2024/variant_figures/roussos_2024.infant.GLU/rs7528506_count_position.png",4,220,900)</f>
        <v/>
      </c>
      <c r="T179">
        <f>IMAGE("https://mitra.stanford.edu/kundaje/oak/projects/neuro-variants/variant_position/credible/roussos_2024/variant_figures/roussos_2024.infant.GLU/rs7528506_profile_position.png",4,220,900)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-0.0676214258</v>
      </c>
      <c r="G180" t="n">
        <v>0.1226297774240194</v>
      </c>
      <c r="H180" t="n">
        <v>0.0263834147528181</v>
      </c>
      <c r="I180" t="n">
        <v>0.087456710401323</v>
      </c>
      <c r="J180" t="n">
        <v>0.0357745982054277</v>
      </c>
      <c r="K180" t="n">
        <v>0.4126439263618926</v>
      </c>
      <c r="L180" t="b">
        <v>0</v>
      </c>
      <c r="M180" t="b">
        <v>0</v>
      </c>
      <c r="N180" t="inlineStr">
        <is>
          <t>ref</t>
        </is>
      </c>
      <c r="O180" t="n">
        <v>15</v>
      </c>
      <c r="P180" t="n">
        <v>0.003174</v>
      </c>
      <c r="Q180" t="n">
        <v>100</v>
      </c>
      <c r="R180" t="n">
        <v>0.1215</v>
      </c>
      <c r="S180">
        <f>IMAGE("https://mitra.stanford.edu/kundaje/oak/projects/neuro-variants/variant_position/credible/roussos_2024/variant_figures/roussos_2024.infant.GLU/rs59012322_count_position.png",4,220,900)</f>
        <v/>
      </c>
      <c r="T180">
        <f>IMAGE("https://mitra.stanford.edu/kundaje/oak/projects/neuro-variants/variant_position/credible/roussos_2024/variant_figures/roussos_2024.infant.GLU/rs59012322_profile_position.png",4,220,900)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0.0113347226</v>
      </c>
      <c r="G181" t="n">
        <v>0.5918031614293811</v>
      </c>
      <c r="H181" t="n">
        <v>0.0146909324628423</v>
      </c>
      <c r="I181" t="n">
        <v>0.3756460222334699</v>
      </c>
      <c r="J181" t="n">
        <v>0.028002160541458</v>
      </c>
      <c r="K181" t="n">
        <v>0.4653614896121884</v>
      </c>
      <c r="L181" t="b">
        <v>0</v>
      </c>
      <c r="M181" t="b">
        <v>0</v>
      </c>
      <c r="N181" t="inlineStr">
        <is>
          <t>alt</t>
        </is>
      </c>
      <c r="O181" t="n">
        <v>100</v>
      </c>
      <c r="P181" t="n">
        <v>0.01753</v>
      </c>
      <c r="Q181" t="n">
        <v>-85</v>
      </c>
      <c r="R181" t="n">
        <v>0.07825</v>
      </c>
      <c r="S181">
        <f>IMAGE("https://mitra.stanford.edu/kundaje/oak/projects/neuro-variants/variant_position/credible/roussos_2024/variant_figures/roussos_2024.infant.GLU/rs6659919_count_position.png",4,220,900)</f>
        <v/>
      </c>
      <c r="T181">
        <f>IMAGE("https://mitra.stanford.edu/kundaje/oak/projects/neuro-variants/variant_position/credible/roussos_2024/variant_figures/roussos_2024.infant.GLU/rs6659919_profile_position.png",4,220,900)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0.0162572874</v>
      </c>
      <c r="G182" t="n">
        <v>0.5160551311927245</v>
      </c>
      <c r="H182" t="n">
        <v>0.011089688049132</v>
      </c>
      <c r="I182" t="n">
        <v>0.6365163697736861</v>
      </c>
      <c r="J182" t="n">
        <v>0.0002843978041843</v>
      </c>
      <c r="K182" t="n">
        <v>0.9495125075032224</v>
      </c>
      <c r="L182" t="b">
        <v>0</v>
      </c>
      <c r="M182" t="b">
        <v>0</v>
      </c>
      <c r="N182" t="inlineStr">
        <is>
          <t>alt</t>
        </is>
      </c>
      <c r="O182" t="n">
        <v>100</v>
      </c>
      <c r="P182" t="n">
        <v>0.00256</v>
      </c>
      <c r="Q182" t="n">
        <v>-85</v>
      </c>
      <c r="R182" t="n">
        <v>0.03876</v>
      </c>
      <c r="S182">
        <f>IMAGE("https://mitra.stanford.edu/kundaje/oak/projects/neuro-variants/variant_position/credible/roussos_2024/variant_figures/roussos_2024.infant.GLU/rs12042074_count_position.png",4,220,900)</f>
        <v/>
      </c>
      <c r="T182">
        <f>IMAGE("https://mitra.stanford.edu/kundaje/oak/projects/neuro-variants/variant_position/credible/roussos_2024/variant_figures/roussos_2024.infant.GLU/rs12042074_profile_position.png",4,220,900)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0.0519277635999999</v>
      </c>
      <c r="G183" t="n">
        <v>0.1655230416128993</v>
      </c>
      <c r="H183" t="n">
        <v>0.015970675122764</v>
      </c>
      <c r="I183" t="n">
        <v>0.3159499323178392</v>
      </c>
      <c r="J183" t="n">
        <v>0.0248341012808924</v>
      </c>
      <c r="K183" t="n">
        <v>0.4944310986450698</v>
      </c>
      <c r="L183" t="b">
        <v>0</v>
      </c>
      <c r="M183" t="b">
        <v>0</v>
      </c>
      <c r="N183" t="inlineStr">
        <is>
          <t>alt</t>
        </is>
      </c>
      <c r="O183" t="n">
        <v>95</v>
      </c>
      <c r="P183" t="n">
        <v>0.010895</v>
      </c>
      <c r="Q183" t="n">
        <v>90</v>
      </c>
      <c r="R183" t="n">
        <v>0.0455</v>
      </c>
      <c r="S183">
        <f>IMAGE("https://mitra.stanford.edu/kundaje/oak/projects/neuro-variants/variant_position/credible/roussos_2024/variant_figures/roussos_2024.infant.GLU/rs6688086_count_position.png",4,220,900)</f>
        <v/>
      </c>
      <c r="T183">
        <f>IMAGE("https://mitra.stanford.edu/kundaje/oak/projects/neuro-variants/variant_position/credible/roussos_2024/variant_figures/roussos_2024.infant.GLU/rs6688086_profile_position.png",4,220,900)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-0.0821890062</v>
      </c>
      <c r="G184" t="n">
        <v>0.08040010464526171</v>
      </c>
      <c r="H184" t="n">
        <v>0.0086845574445556</v>
      </c>
      <c r="I184" t="n">
        <v>0.84625462755534</v>
      </c>
      <c r="J184" t="n">
        <v>0.1145759386229854</v>
      </c>
      <c r="K184" t="n">
        <v>0.1948406422263981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0.06909999999999999</v>
      </c>
      <c r="Q184" t="n">
        <v>-30</v>
      </c>
      <c r="R184" t="n">
        <v>0.01978</v>
      </c>
      <c r="S184">
        <f>IMAGE("https://mitra.stanford.edu/kundaje/oak/projects/neuro-variants/variant_position/credible/roussos_2024/variant_figures/roussos_2024.infant.GLU/rs12027165_count_position.png",4,220,900)</f>
        <v/>
      </c>
      <c r="T184">
        <f>IMAGE("https://mitra.stanford.edu/kundaje/oak/projects/neuro-variants/variant_position/credible/roussos_2024/variant_figures/roussos_2024.infant.GLU/rs12027165_profile_position.png",4,220,900)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0.043799272</v>
      </c>
      <c r="G185" t="n">
        <v>0.1959195668272063</v>
      </c>
      <c r="H185" t="n">
        <v>0.0102200398444383</v>
      </c>
      <c r="I185" t="n">
        <v>0.7174371759400502</v>
      </c>
      <c r="J185" t="n">
        <v>0.0249509468903635</v>
      </c>
      <c r="K185" t="n">
        <v>0.4886548451472631</v>
      </c>
      <c r="L185" t="b">
        <v>0</v>
      </c>
      <c r="M185" t="b">
        <v>0</v>
      </c>
      <c r="N185" t="inlineStr">
        <is>
          <t>alt</t>
        </is>
      </c>
      <c r="O185" t="n">
        <v>50</v>
      </c>
      <c r="P185" t="n">
        <v>0.008630000000000001</v>
      </c>
      <c r="Q185" t="n">
        <v>-85</v>
      </c>
      <c r="R185" t="n">
        <v>0.073</v>
      </c>
      <c r="S185">
        <f>IMAGE("https://mitra.stanford.edu/kundaje/oak/projects/neuro-variants/variant_position/credible/roussos_2024/variant_figures/roussos_2024.infant.GLU/rs1496116_count_position.png",4,220,900)</f>
        <v/>
      </c>
      <c r="T185">
        <f>IMAGE("https://mitra.stanford.edu/kundaje/oak/projects/neuro-variants/variant_position/credible/roussos_2024/variant_figures/roussos_2024.infant.GLU/rs1496116_profile_position.png",4,220,900)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0.123536064</v>
      </c>
      <c r="G186" t="n">
        <v>0.0339432506836787</v>
      </c>
      <c r="H186" t="n">
        <v>0.0194641214330438</v>
      </c>
      <c r="I186" t="n">
        <v>0.2031328103031827</v>
      </c>
      <c r="J186" t="n">
        <v>0.1596309442448025</v>
      </c>
      <c r="K186" t="n">
        <v>0.1364035816344899</v>
      </c>
      <c r="L186" t="b">
        <v>0</v>
      </c>
      <c r="M186" t="b">
        <v>0</v>
      </c>
      <c r="N186" t="inlineStr">
        <is>
          <t>alt</t>
        </is>
      </c>
      <c r="O186" t="n">
        <v>40</v>
      </c>
      <c r="P186" t="n">
        <v>0.003792</v>
      </c>
      <c r="Q186" t="n">
        <v>40</v>
      </c>
      <c r="R186" t="n">
        <v>0.0331</v>
      </c>
      <c r="S186">
        <f>IMAGE("https://mitra.stanford.edu/kundaje/oak/projects/neuro-variants/variant_position/credible/roussos_2024/variant_figures/roussos_2024.infant.GLU/rs12031518_count_position.png",4,220,900)</f>
        <v/>
      </c>
      <c r="T186">
        <f>IMAGE("https://mitra.stanford.edu/kundaje/oak/projects/neuro-variants/variant_position/credible/roussos_2024/variant_figures/roussos_2024.infant.GLU/rs12031518_profile_position.png",4,220,900)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-0.0169196605999999</v>
      </c>
      <c r="G187" t="n">
        <v>0.4994328521072883</v>
      </c>
      <c r="H187" t="n">
        <v>0.0434406701472762</v>
      </c>
      <c r="I187" t="n">
        <v>0.0143360222574569</v>
      </c>
      <c r="J187" t="n">
        <v>0.0288718887100685</v>
      </c>
      <c r="K187" t="n">
        <v>0.4577027256346076</v>
      </c>
      <c r="L187" t="b">
        <v>1</v>
      </c>
      <c r="M187" t="b">
        <v>0</v>
      </c>
      <c r="N187" t="inlineStr">
        <is>
          <t>ref</t>
        </is>
      </c>
      <c r="O187" t="n">
        <v>-100</v>
      </c>
      <c r="P187" t="n">
        <v>0.0083</v>
      </c>
      <c r="Q187" t="n">
        <v>-100</v>
      </c>
      <c r="R187" t="n">
        <v>0.08795</v>
      </c>
      <c r="S187">
        <f>IMAGE("https://mitra.stanford.edu/kundaje/oak/projects/neuro-variants/variant_position/credible/roussos_2024/variant_figures/roussos_2024.infant.GLU/rs2132427_count_position.png",4,220,900)</f>
        <v/>
      </c>
      <c r="T187">
        <f>IMAGE("https://mitra.stanford.edu/kundaje/oak/projects/neuro-variants/variant_position/credible/roussos_2024/variant_figures/roussos_2024.infant.GLU/rs2132427_profile_position.png",4,220,900)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-0.0068260714339999</v>
      </c>
      <c r="G188" t="n">
        <v>0.7423242604304888</v>
      </c>
      <c r="H188" t="n">
        <v>0.0134955502223064</v>
      </c>
      <c r="I188" t="n">
        <v>0.4487506062325803</v>
      </c>
      <c r="J188" t="n">
        <v>0.0118488061906126</v>
      </c>
      <c r="K188" t="n">
        <v>0.6543379458453755</v>
      </c>
      <c r="L188" t="b">
        <v>0</v>
      </c>
      <c r="M188" t="b">
        <v>0</v>
      </c>
      <c r="N188" t="inlineStr">
        <is>
          <t>ref</t>
        </is>
      </c>
      <c r="O188" t="n">
        <v>-100</v>
      </c>
      <c r="P188" t="n">
        <v>0.06015</v>
      </c>
      <c r="Q188" t="n">
        <v>-95</v>
      </c>
      <c r="R188" t="n">
        <v>0.04047</v>
      </c>
      <c r="S188">
        <f>IMAGE("https://mitra.stanford.edu/kundaje/oak/projects/neuro-variants/variant_position/credible/roussos_2024/variant_figures/roussos_2024.infant.GLU/rs10875035_count_position.png",4,220,900)</f>
        <v/>
      </c>
      <c r="T188">
        <f>IMAGE("https://mitra.stanford.edu/kundaje/oak/projects/neuro-variants/variant_position/credible/roussos_2024/variant_figures/roussos_2024.infant.GLU/rs10875035_profile_position.png",4,220,900)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0.0620879428</v>
      </c>
      <c r="G189" t="n">
        <v>0.1306896829530312</v>
      </c>
      <c r="H189" t="n">
        <v>0.0253327955707627</v>
      </c>
      <c r="I189" t="n">
        <v>0.1017792587751368</v>
      </c>
      <c r="J189" t="n">
        <v>0.3748726823783593</v>
      </c>
      <c r="K189" t="n">
        <v>0.0496634701491675</v>
      </c>
      <c r="L189" t="b">
        <v>0</v>
      </c>
      <c r="M189" t="b">
        <v>0</v>
      </c>
      <c r="N189" t="inlineStr">
        <is>
          <t>alt</t>
        </is>
      </c>
      <c r="O189" t="n">
        <v>25</v>
      </c>
      <c r="P189" t="n">
        <v>0.003464</v>
      </c>
      <c r="Q189" t="n">
        <v>-100</v>
      </c>
      <c r="R189" t="n">
        <v>0.0581</v>
      </c>
      <c r="S189">
        <f>IMAGE("https://mitra.stanford.edu/kundaje/oak/projects/neuro-variants/variant_position/credible/roussos_2024/variant_figures/roussos_2024.infant.GLU/rs12407539_count_position.png",4,220,900)</f>
        <v/>
      </c>
      <c r="T189">
        <f>IMAGE("https://mitra.stanford.edu/kundaje/oak/projects/neuro-variants/variant_position/credible/roussos_2024/variant_figures/roussos_2024.infant.GLU/rs12407539_profile_position.png",4,220,900)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-0.0762979724</v>
      </c>
      <c r="G190" t="n">
        <v>0.08415638977969429</v>
      </c>
      <c r="H190" t="n">
        <v>0.0418556948483805</v>
      </c>
      <c r="I190" t="n">
        <v>0.0167434363639419</v>
      </c>
      <c r="J190" t="n">
        <v>0.1012048325580369</v>
      </c>
      <c r="K190" t="n">
        <v>0.2216032465087496</v>
      </c>
      <c r="L190" t="b">
        <v>1</v>
      </c>
      <c r="M190" t="b">
        <v>0</v>
      </c>
      <c r="N190" t="inlineStr">
        <is>
          <t>ref</t>
        </is>
      </c>
      <c r="O190" t="n">
        <v>95</v>
      </c>
      <c r="P190" t="n">
        <v>0.0536</v>
      </c>
      <c r="Q190" t="n">
        <v>80</v>
      </c>
      <c r="R190" t="n">
        <v>0.1843</v>
      </c>
      <c r="S190">
        <f>IMAGE("https://mitra.stanford.edu/kundaje/oak/projects/neuro-variants/variant_position/credible/roussos_2024/variant_figures/roussos_2024.infant.GLU/rs36025579_count_position.png",4,220,900)</f>
        <v/>
      </c>
      <c r="T190">
        <f>IMAGE("https://mitra.stanford.edu/kundaje/oak/projects/neuro-variants/variant_position/credible/roussos_2024/variant_figures/roussos_2024.infant.GLU/rs36025579_profile_position.png",4,220,900)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0.0936212689999999</v>
      </c>
      <c r="G191" t="n">
        <v>0.0575747283735924</v>
      </c>
      <c r="H191" t="n">
        <v>0.0131367117359228</v>
      </c>
      <c r="I191" t="n">
        <v>0.4751278069500289</v>
      </c>
      <c r="J191" t="n">
        <v>0.0111940298507461</v>
      </c>
      <c r="K191" t="n">
        <v>0.6654201477083554</v>
      </c>
      <c r="L191" t="b">
        <v>0</v>
      </c>
      <c r="M191" t="b">
        <v>0</v>
      </c>
      <c r="N191" t="inlineStr">
        <is>
          <t>alt</t>
        </is>
      </c>
      <c r="O191" t="n">
        <v>15</v>
      </c>
      <c r="P191" t="n">
        <v>0.001556</v>
      </c>
      <c r="Q191" t="n">
        <v>15</v>
      </c>
      <c r="R191" t="n">
        <v>0.05695</v>
      </c>
      <c r="S191">
        <f>IMAGE("https://mitra.stanford.edu/kundaje/oak/projects/neuro-variants/variant_position/credible/roussos_2024/variant_figures/roussos_2024.infant.GLU/rs10875073_count_position.png",4,220,900)</f>
        <v/>
      </c>
      <c r="T191">
        <f>IMAGE("https://mitra.stanford.edu/kundaje/oak/projects/neuro-variants/variant_position/credible/roussos_2024/variant_figures/roussos_2024.infant.GLU/rs10875073_profile_position.png",4,220,900)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0.153322656</v>
      </c>
      <c r="G192" t="n">
        <v>0.0196483517646269</v>
      </c>
      <c r="H192" t="n">
        <v>0.0408892253866212</v>
      </c>
      <c r="I192" t="n">
        <v>0.0184688643348001</v>
      </c>
      <c r="J192" t="n">
        <v>0.06792147093189869</v>
      </c>
      <c r="K192" t="n">
        <v>0.2818827824897078</v>
      </c>
      <c r="L192" t="b">
        <v>1</v>
      </c>
      <c r="M192" t="b">
        <v>0</v>
      </c>
      <c r="N192" t="inlineStr">
        <is>
          <t>alt</t>
        </is>
      </c>
      <c r="O192" t="n">
        <v>75</v>
      </c>
      <c r="P192" t="n">
        <v>0.001602</v>
      </c>
      <c r="Q192" t="n">
        <v>-5</v>
      </c>
      <c r="R192" t="n">
        <v>0.02734</v>
      </c>
      <c r="S192">
        <f>IMAGE("https://mitra.stanford.edu/kundaje/oak/projects/neuro-variants/variant_position/credible/roussos_2024/variant_figures/roussos_2024.infant.GLU/rs72728414_count_position.png",4,220,900)</f>
        <v/>
      </c>
      <c r="T192">
        <f>IMAGE("https://mitra.stanford.edu/kundaje/oak/projects/neuro-variants/variant_position/credible/roussos_2024/variant_figures/roussos_2024.infant.GLU/rs72728414_profile_position.png",4,220,900)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0.0525179872</v>
      </c>
      <c r="G193" t="n">
        <v>0.1538649490030294</v>
      </c>
      <c r="H193" t="n">
        <v>0.0154265744258973</v>
      </c>
      <c r="I193" t="n">
        <v>0.3410594614636883</v>
      </c>
      <c r="J193" t="n">
        <v>0.1041204612094622</v>
      </c>
      <c r="K193" t="n">
        <v>0.198398424726528</v>
      </c>
      <c r="L193" t="b">
        <v>0</v>
      </c>
      <c r="M193" t="b">
        <v>0</v>
      </c>
      <c r="N193" t="inlineStr">
        <is>
          <t>alt</t>
        </is>
      </c>
      <c r="O193" t="n">
        <v>-50</v>
      </c>
      <c r="P193" t="n">
        <v>0.008370000000000001</v>
      </c>
      <c r="Q193" t="n">
        <v>-50</v>
      </c>
      <c r="R193" t="n">
        <v>0.05676</v>
      </c>
      <c r="S193">
        <f>IMAGE("https://mitra.stanford.edu/kundaje/oak/projects/neuro-variants/variant_position/credible/roussos_2024/variant_figures/roussos_2024.infant.GLU/rs74105186_count_position.png",4,220,900)</f>
        <v/>
      </c>
      <c r="T193">
        <f>IMAGE("https://mitra.stanford.edu/kundaje/oak/projects/neuro-variants/variant_position/credible/roussos_2024/variant_figures/roussos_2024.infant.GLU/rs74105186_profile_position.png",4,220,900)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-0.039107172</v>
      </c>
      <c r="G194" t="n">
        <v>0.2473446923048196</v>
      </c>
      <c r="H194" t="n">
        <v>0.008326875146353</v>
      </c>
      <c r="I194" t="n">
        <v>0.8376656629888378</v>
      </c>
      <c r="J194" t="n">
        <v>0.0908639961198438</v>
      </c>
      <c r="K194" t="n">
        <v>0.2235805506868095</v>
      </c>
      <c r="L194" t="b">
        <v>0</v>
      </c>
      <c r="M194" t="b">
        <v>0</v>
      </c>
      <c r="N194" t="inlineStr">
        <is>
          <t>ref</t>
        </is>
      </c>
      <c r="O194" t="n">
        <v>85</v>
      </c>
      <c r="P194" t="n">
        <v>0.3164</v>
      </c>
      <c r="Q194" t="n">
        <v>100</v>
      </c>
      <c r="R194" t="n">
        <v>0.127</v>
      </c>
      <c r="S194">
        <f>IMAGE("https://mitra.stanford.edu/kundaje/oak/projects/neuro-variants/variant_position/credible/roussos_2024/variant_figures/roussos_2024.infant.GLU/rs1112314_count_position.png",4,220,900)</f>
        <v/>
      </c>
      <c r="T194">
        <f>IMAGE("https://mitra.stanford.edu/kundaje/oak/projects/neuro-variants/variant_position/credible/roussos_2024/variant_figures/roussos_2024.infant.GLU/rs1112314_profile_position.png",4,220,900)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0.157305256</v>
      </c>
      <c r="G195" t="n">
        <v>0.0180837483263008</v>
      </c>
      <c r="H195" t="n">
        <v>0.0515311683386972</v>
      </c>
      <c r="I195" t="n">
        <v>0.0065621840493629</v>
      </c>
      <c r="J195" t="n">
        <v>0.0121971383848849</v>
      </c>
      <c r="K195" t="n">
        <v>0.6246362696452487</v>
      </c>
      <c r="L195" t="b">
        <v>1</v>
      </c>
      <c r="M195" t="b">
        <v>0</v>
      </c>
      <c r="N195" t="inlineStr">
        <is>
          <t>alt</t>
        </is>
      </c>
      <c r="O195" t="n">
        <v>-80</v>
      </c>
      <c r="P195" t="n">
        <v>0.00944</v>
      </c>
      <c r="Q195" t="n">
        <v>-50</v>
      </c>
      <c r="R195" t="n">
        <v>0.0887</v>
      </c>
      <c r="S195">
        <f>IMAGE("https://mitra.stanford.edu/kundaje/oak/projects/neuro-variants/variant_position/credible/roussos_2024/variant_figures/roussos_2024.infant.GLU/rs12047563_count_position.png",4,220,900)</f>
        <v/>
      </c>
      <c r="T195">
        <f>IMAGE("https://mitra.stanford.edu/kundaje/oak/projects/neuro-variants/variant_position/credible/roussos_2024/variant_figures/roussos_2024.infant.GLU/rs12047563_profile_position.png",4,220,900)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-0.134777472</v>
      </c>
      <c r="G196" t="n">
        <v>0.0269071889662489</v>
      </c>
      <c r="H196" t="n">
        <v>0.0241839900162201</v>
      </c>
      <c r="I196" t="n">
        <v>0.1122876925345122</v>
      </c>
      <c r="J196" t="n">
        <v>0.0393042174651116</v>
      </c>
      <c r="K196" t="n">
        <v>0.3976637913325082</v>
      </c>
      <c r="L196" t="b">
        <v>0</v>
      </c>
      <c r="M196" t="b">
        <v>0</v>
      </c>
      <c r="N196" t="inlineStr">
        <is>
          <t>ref</t>
        </is>
      </c>
      <c r="O196" t="n">
        <v>-100</v>
      </c>
      <c r="P196" t="n">
        <v>0.01965</v>
      </c>
      <c r="Q196" t="n">
        <v>0</v>
      </c>
      <c r="R196" t="n">
        <v>0</v>
      </c>
      <c r="S196">
        <f>IMAGE("https://mitra.stanford.edu/kundaje/oak/projects/neuro-variants/variant_position/credible/roussos_2024/variant_figures/roussos_2024.infant.GLU/rs4503384_count_position.png",4,220,900)</f>
        <v/>
      </c>
      <c r="T196">
        <f>IMAGE("https://mitra.stanford.edu/kundaje/oak/projects/neuro-variants/variant_position/credible/roussos_2024/variant_figures/roussos_2024.infant.GLU/rs4503384_profile_position.png",4,220,900)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0.00899078888</v>
      </c>
      <c r="G197" t="n">
        <v>0.5765016741866708</v>
      </c>
      <c r="H197" t="n">
        <v>0.0374760200930462</v>
      </c>
      <c r="I197" t="n">
        <v>0.0263697296497765</v>
      </c>
      <c r="J197" t="n">
        <v>0.0038283471857844</v>
      </c>
      <c r="K197" t="n">
        <v>0.8044503499857506</v>
      </c>
      <c r="L197" t="b">
        <v>0</v>
      </c>
      <c r="M197" t="b">
        <v>0</v>
      </c>
      <c r="N197" t="inlineStr">
        <is>
          <t>alt</t>
        </is>
      </c>
      <c r="O197" t="n">
        <v>100</v>
      </c>
      <c r="P197" t="n">
        <v>0.01071</v>
      </c>
      <c r="Q197" t="n">
        <v>-100</v>
      </c>
      <c r="R197" t="n">
        <v>0.000977</v>
      </c>
      <c r="S197">
        <f>IMAGE("https://mitra.stanford.edu/kundaje/oak/projects/neuro-variants/variant_position/credible/roussos_2024/variant_figures/roussos_2024.infant.GLU/rs56682383_count_position.png",4,220,900)</f>
        <v/>
      </c>
      <c r="T197">
        <f>IMAGE("https://mitra.stanford.edu/kundaje/oak/projects/neuro-variants/variant_position/credible/roussos_2024/variant_figures/roussos_2024.infant.GLU/rs56682383_profile_position.png",4,220,900)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0.0306368564</v>
      </c>
      <c r="G198" t="n">
        <v>0.3012345316285463</v>
      </c>
      <c r="H198" t="n">
        <v>0.008813968740463699</v>
      </c>
      <c r="I198" t="n">
        <v>0.8443428664861399</v>
      </c>
      <c r="J198" t="n">
        <v>0.0026863467007649</v>
      </c>
      <c r="K198" t="n">
        <v>0.837737106845011</v>
      </c>
      <c r="L198" t="b">
        <v>0</v>
      </c>
      <c r="M198" t="b">
        <v>0</v>
      </c>
      <c r="N198" t="inlineStr">
        <is>
          <t>alt</t>
        </is>
      </c>
      <c r="O198" t="n">
        <v>-95</v>
      </c>
      <c r="P198" t="n">
        <v>0.03485</v>
      </c>
      <c r="Q198" t="n">
        <v>45</v>
      </c>
      <c r="R198" t="n">
        <v>0.02219</v>
      </c>
      <c r="S198">
        <f>IMAGE("https://mitra.stanford.edu/kundaje/oak/projects/neuro-variants/variant_position/credible/roussos_2024/variant_figures/roussos_2024.infant.GLU/rs9727787_count_position.png",4,220,900)</f>
        <v/>
      </c>
      <c r="T198">
        <f>IMAGE("https://mitra.stanford.edu/kundaje/oak/projects/neuro-variants/variant_position/credible/roussos_2024/variant_figures/roussos_2024.infant.GLU/rs9727787_profile_position.png",4,220,900)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-0.0016798531199999</v>
      </c>
      <c r="G199" t="n">
        <v>0.8545670937451659</v>
      </c>
      <c r="H199" t="n">
        <v>0.0071559591800792</v>
      </c>
      <c r="I199" t="n">
        <v>0.9564317184337268</v>
      </c>
      <c r="J199" t="n">
        <v>0.0248726823783592</v>
      </c>
      <c r="K199" t="n">
        <v>0.4985146705530503</v>
      </c>
      <c r="L199" t="b">
        <v>0</v>
      </c>
      <c r="M199" t="b">
        <v>0</v>
      </c>
      <c r="N199" t="inlineStr">
        <is>
          <t>ref</t>
        </is>
      </c>
      <c r="O199" t="n">
        <v>50</v>
      </c>
      <c r="P199" t="n">
        <v>0.01628</v>
      </c>
      <c r="Q199" t="n">
        <v>-65</v>
      </c>
      <c r="R199" t="n">
        <v>0.05417</v>
      </c>
      <c r="S199">
        <f>IMAGE("https://mitra.stanford.edu/kundaje/oak/projects/neuro-variants/variant_position/credible/roussos_2024/variant_figures/roussos_2024.infant.GLU/rs55824522_count_position.png",4,220,900)</f>
        <v/>
      </c>
      <c r="T199">
        <f>IMAGE("https://mitra.stanford.edu/kundaje/oak/projects/neuro-variants/variant_position/credible/roussos_2024/variant_figures/roussos_2024.infant.GLU/rs55824522_profile_position.png",4,220,900)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0.0183303716</v>
      </c>
      <c r="G200" t="n">
        <v>0.459858728681716</v>
      </c>
      <c r="H200" t="n">
        <v>0.0465534809854688</v>
      </c>
      <c r="I200" t="n">
        <v>0.0107344695161735</v>
      </c>
      <c r="J200" t="n">
        <v>0.0345896073546594</v>
      </c>
      <c r="K200" t="n">
        <v>0.4230743745158766</v>
      </c>
      <c r="L200" t="b">
        <v>1</v>
      </c>
      <c r="M200" t="b">
        <v>0</v>
      </c>
      <c r="N200" t="inlineStr">
        <is>
          <t>alt</t>
        </is>
      </c>
      <c r="O200" t="n">
        <v>50</v>
      </c>
      <c r="P200" t="n">
        <v>0.0005493</v>
      </c>
      <c r="Q200" t="n">
        <v>30</v>
      </c>
      <c r="R200" t="n">
        <v>0.0847</v>
      </c>
      <c r="S200">
        <f>IMAGE("https://mitra.stanford.edu/kundaje/oak/projects/neuro-variants/variant_position/credible/roussos_2024/variant_figures/roussos_2024.infant.GLU/rs12043021_count_position.png",4,220,900)</f>
        <v/>
      </c>
      <c r="T200">
        <f>IMAGE("https://mitra.stanford.edu/kundaje/oak/projects/neuro-variants/variant_position/credible/roussos_2024/variant_figures/roussos_2024.infant.GLU/rs12043021_profile_position.png",4,220,900)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0.0475619818</v>
      </c>
      <c r="G201" t="n">
        <v>0.1899262353163213</v>
      </c>
      <c r="H201" t="n">
        <v>0.0123220149604689</v>
      </c>
      <c r="I201" t="n">
        <v>0.5345273425202878</v>
      </c>
      <c r="J201" t="n">
        <v>0.0375735796644546</v>
      </c>
      <c r="K201" t="n">
        <v>0.4114843875509732</v>
      </c>
      <c r="L201" t="b">
        <v>0</v>
      </c>
      <c r="M201" t="b">
        <v>0</v>
      </c>
      <c r="N201" t="inlineStr">
        <is>
          <t>alt</t>
        </is>
      </c>
      <c r="O201" t="n">
        <v>-55</v>
      </c>
      <c r="P201" t="n">
        <v>0.03903</v>
      </c>
      <c r="Q201" t="n">
        <v>-70</v>
      </c>
      <c r="R201" t="n">
        <v>0.0501</v>
      </c>
      <c r="S201">
        <f>IMAGE("https://mitra.stanford.edu/kundaje/oak/projects/neuro-variants/variant_position/credible/roussos_2024/variant_figures/roussos_2024.infant.GLU/rs12040699_count_position.png",4,220,900)</f>
        <v/>
      </c>
      <c r="T201">
        <f>IMAGE("https://mitra.stanford.edu/kundaje/oak/projects/neuro-variants/variant_position/credible/roussos_2024/variant_figures/roussos_2024.infant.GLU/rs12040699_profile_position.png",4,220,900)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-0.06295607559999999</v>
      </c>
      <c r="G202" t="n">
        <v>0.1173576737152584</v>
      </c>
      <c r="H202" t="n">
        <v>0.0129968559865791</v>
      </c>
      <c r="I202" t="n">
        <v>0.4809676584741577</v>
      </c>
      <c r="J202" t="n">
        <v>0.0126821578958971</v>
      </c>
      <c r="K202" t="n">
        <v>0.621136977579992</v>
      </c>
      <c r="L202" t="b">
        <v>0</v>
      </c>
      <c r="M202" t="b">
        <v>0</v>
      </c>
      <c r="N202" t="inlineStr">
        <is>
          <t>ref</t>
        </is>
      </c>
      <c r="O202" t="n">
        <v>75</v>
      </c>
      <c r="P202" t="n">
        <v>0.00624</v>
      </c>
      <c r="Q202" t="n">
        <v>-15</v>
      </c>
      <c r="R202" t="n">
        <v>0.02905</v>
      </c>
      <c r="S202">
        <f>IMAGE("https://mitra.stanford.edu/kundaje/oak/projects/neuro-variants/variant_position/credible/roussos_2024/variant_figures/roussos_2024.infant.GLU/rs12026223_count_position.png",4,220,900)</f>
        <v/>
      </c>
      <c r="T202">
        <f>IMAGE("https://mitra.stanford.edu/kundaje/oak/projects/neuro-variants/variant_position/credible/roussos_2024/variant_figures/roussos_2024.infant.GLU/rs12026223_profile_position.png",4,220,900)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-0.06531103099999989</v>
      </c>
      <c r="G203" t="n">
        <v>0.1109995330313597</v>
      </c>
      <c r="H203" t="n">
        <v>0.0117630382842721</v>
      </c>
      <c r="I203" t="n">
        <v>0.5655395472066032</v>
      </c>
      <c r="J203" t="n">
        <v>0.0423333847747965</v>
      </c>
      <c r="K203" t="n">
        <v>0.3960823287197824</v>
      </c>
      <c r="L203" t="b">
        <v>0</v>
      </c>
      <c r="M203" t="b">
        <v>0</v>
      </c>
      <c r="N203" t="inlineStr">
        <is>
          <t>ref</t>
        </is>
      </c>
      <c r="O203" t="n">
        <v>100</v>
      </c>
      <c r="P203" t="n">
        <v>0.009259999999999999</v>
      </c>
      <c r="Q203" t="n">
        <v>100</v>
      </c>
      <c r="R203" t="n">
        <v>0.0297</v>
      </c>
      <c r="S203">
        <f>IMAGE("https://mitra.stanford.edu/kundaje/oak/projects/neuro-variants/variant_position/credible/roussos_2024/variant_figures/roussos_2024.infant.GLU/rs6687374_count_position.png",4,220,900)</f>
        <v/>
      </c>
      <c r="T203">
        <f>IMAGE("https://mitra.stanford.edu/kundaje/oak/projects/neuro-variants/variant_position/credible/roussos_2024/variant_figures/roussos_2024.infant.GLU/rs6687374_profile_position.png",4,220,900)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-0.00409186492</v>
      </c>
      <c r="G204" t="n">
        <v>0.6338064891975794</v>
      </c>
      <c r="H204" t="n">
        <v>0.007288586200627</v>
      </c>
      <c r="I204" t="n">
        <v>0.8694315464497039</v>
      </c>
      <c r="J204" t="n">
        <v>0.0118774664344451</v>
      </c>
      <c r="K204" t="n">
        <v>0.6317975924288414</v>
      </c>
      <c r="L204" t="b">
        <v>0</v>
      </c>
      <c r="M204" t="b">
        <v>0</v>
      </c>
      <c r="N204" t="inlineStr">
        <is>
          <t>ref</t>
        </is>
      </c>
      <c r="O204" t="n">
        <v>-90</v>
      </c>
      <c r="P204" t="n">
        <v>0.0999</v>
      </c>
      <c r="Q204" t="n">
        <v>-100</v>
      </c>
      <c r="R204" t="n">
        <v>0.09406</v>
      </c>
      <c r="S204">
        <f>IMAGE("https://mitra.stanford.edu/kundaje/oak/projects/neuro-variants/variant_position/credible/roussos_2024/variant_figures/roussos_2024.infant.GLU/rs58941846_count_position.png",4,220,900)</f>
        <v/>
      </c>
      <c r="T204">
        <f>IMAGE("https://mitra.stanford.edu/kundaje/oak/projects/neuro-variants/variant_position/credible/roussos_2024/variant_figures/roussos_2024.infant.GLU/rs58941846_profile_position.png",4,220,900)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0.0135354885</v>
      </c>
      <c r="G205" t="n">
        <v>0.5134970306573706</v>
      </c>
      <c r="H205" t="n">
        <v>0.0182988554855108</v>
      </c>
      <c r="I205" t="n">
        <v>0.2281983563916593</v>
      </c>
      <c r="J205" t="n">
        <v>0.0126038933838929</v>
      </c>
      <c r="K205" t="n">
        <v>0.6266107718959997</v>
      </c>
      <c r="L205" t="b">
        <v>0</v>
      </c>
      <c r="M205" t="b">
        <v>0</v>
      </c>
      <c r="N205" t="inlineStr">
        <is>
          <t>alt</t>
        </is>
      </c>
      <c r="O205" t="n">
        <v>20</v>
      </c>
      <c r="P205" t="n">
        <v>0.002838</v>
      </c>
      <c r="Q205" t="n">
        <v>55</v>
      </c>
      <c r="R205" t="n">
        <v>0.07630000000000001</v>
      </c>
      <c r="S205">
        <f>IMAGE("https://mitra.stanford.edu/kundaje/oak/projects/neuro-variants/variant_position/credible/roussos_2024/variant_figures/roussos_2024.infant.GLU/rs12129397_count_position.png",4,220,900)</f>
        <v/>
      </c>
      <c r="T205">
        <f>IMAGE("https://mitra.stanford.edu/kundaje/oak/projects/neuro-variants/variant_position/credible/roussos_2024/variant_figures/roussos_2024.infant.GLU/rs12129397_profile_position.png",4,220,900)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0.01511778952</v>
      </c>
      <c r="G206" t="n">
        <v>0.4996865485717092</v>
      </c>
      <c r="H206" t="n">
        <v>0.0281203378715438</v>
      </c>
      <c r="I206" t="n">
        <v>0.0708005191275939</v>
      </c>
      <c r="J206" t="n">
        <v>0.008571617540069101</v>
      </c>
      <c r="K206" t="n">
        <v>0.6799509141988023</v>
      </c>
      <c r="L206" t="b">
        <v>0</v>
      </c>
      <c r="M206" t="b">
        <v>0</v>
      </c>
      <c r="N206" t="inlineStr">
        <is>
          <t>alt</t>
        </is>
      </c>
      <c r="O206" t="n">
        <v>-80</v>
      </c>
      <c r="P206" t="n">
        <v>0.0285</v>
      </c>
      <c r="Q206" t="n">
        <v>-85</v>
      </c>
      <c r="R206" t="n">
        <v>0.04822</v>
      </c>
      <c r="S206">
        <f>IMAGE("https://mitra.stanford.edu/kundaje/oak/projects/neuro-variants/variant_position/credible/roussos_2024/variant_figures/roussos_2024.infant.GLU/rs11165872_count_position.png",4,220,900)</f>
        <v/>
      </c>
      <c r="T206">
        <f>IMAGE("https://mitra.stanford.edu/kundaje/oak/projects/neuro-variants/variant_position/credible/roussos_2024/variant_figures/roussos_2024.infant.GLU/rs11165872_profile_position.png",4,220,900)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0.01232214958</v>
      </c>
      <c r="G207" t="n">
        <v>0.5770904667830479</v>
      </c>
      <c r="H207" t="n">
        <v>0.0338287884422352</v>
      </c>
      <c r="I207" t="n">
        <v>0.0383483380675759</v>
      </c>
      <c r="J207" t="n">
        <v>0.0357536541810886</v>
      </c>
      <c r="K207" t="n">
        <v>0.4185252426583656</v>
      </c>
      <c r="L207" t="b">
        <v>0</v>
      </c>
      <c r="M207" t="b">
        <v>0</v>
      </c>
      <c r="N207" t="inlineStr">
        <is>
          <t>alt</t>
        </is>
      </c>
      <c r="O207" t="n">
        <v>-10</v>
      </c>
      <c r="P207" t="n">
        <v>0.0007324</v>
      </c>
      <c r="Q207" t="n">
        <v>-50</v>
      </c>
      <c r="R207" t="n">
        <v>0.1372</v>
      </c>
      <c r="S207">
        <f>IMAGE("https://mitra.stanford.edu/kundaje/oak/projects/neuro-variants/variant_position/credible/roussos_2024/variant_figures/roussos_2024.infant.GLU/rs12354219_count_position.png",4,220,900)</f>
        <v/>
      </c>
      <c r="T207">
        <f>IMAGE("https://mitra.stanford.edu/kundaje/oak/projects/neuro-variants/variant_position/credible/roussos_2024/variant_figures/roussos_2024.infant.GLU/rs12354219_profile_position.png",4,220,900)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-0.0022531704</v>
      </c>
      <c r="G208" t="n">
        <v>0.5375827155043285</v>
      </c>
      <c r="H208" t="n">
        <v>0.0189451745024105</v>
      </c>
      <c r="I208" t="n">
        <v>0.2099131513224536</v>
      </c>
      <c r="J208" t="n">
        <v>0.0775413920059965</v>
      </c>
      <c r="K208" t="n">
        <v>0.2550863929467721</v>
      </c>
      <c r="L208" t="b">
        <v>0</v>
      </c>
      <c r="M208" t="b">
        <v>0</v>
      </c>
      <c r="N208" t="inlineStr">
        <is>
          <t>ref</t>
        </is>
      </c>
      <c r="O208" t="n">
        <v>-50</v>
      </c>
      <c r="P208" t="n">
        <v>0.0253</v>
      </c>
      <c r="Q208" t="n">
        <v>-50</v>
      </c>
      <c r="R208" t="n">
        <v>0.0919</v>
      </c>
      <c r="S208">
        <f>IMAGE("https://mitra.stanford.edu/kundaje/oak/projects/neuro-variants/variant_position/credible/roussos_2024/variant_figures/roussos_2024.infant.GLU/rs79917705_count_position.png",4,220,900)</f>
        <v/>
      </c>
      <c r="T208">
        <f>IMAGE("https://mitra.stanford.edu/kundaje/oak/projects/neuro-variants/variant_position/credible/roussos_2024/variant_figures/roussos_2024.infant.GLU/rs79917705_profile_position.png",4,220,900)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-0.172827792</v>
      </c>
      <c r="G209" t="n">
        <v>0.0148037915807593</v>
      </c>
      <c r="H209" t="n">
        <v>0.0212856960866748</v>
      </c>
      <c r="I209" t="n">
        <v>0.1591713233553158</v>
      </c>
      <c r="J209" t="n">
        <v>0.0596177164399567</v>
      </c>
      <c r="K209" t="n">
        <v>0.3070159278016069</v>
      </c>
      <c r="L209" t="b">
        <v>1</v>
      </c>
      <c r="M209" t="b">
        <v>0</v>
      </c>
      <c r="N209" t="inlineStr">
        <is>
          <t>ref</t>
        </is>
      </c>
      <c r="O209" t="n">
        <v>-15</v>
      </c>
      <c r="P209" t="n">
        <v>0.00656</v>
      </c>
      <c r="Q209" t="n">
        <v>-15</v>
      </c>
      <c r="R209" t="n">
        <v>0.06859999999999999</v>
      </c>
      <c r="S209">
        <f>IMAGE("https://mitra.stanford.edu/kundaje/oak/projects/neuro-variants/variant_position/credible/roussos_2024/variant_figures/roussos_2024.infant.GLU/rs10783069_count_position.png",4,220,900)</f>
        <v/>
      </c>
      <c r="T209">
        <f>IMAGE("https://mitra.stanford.edu/kundaje/oak/projects/neuro-variants/variant_position/credible/roussos_2024/variant_figures/roussos_2024.infant.GLU/rs10783069_profile_position.png",4,220,900)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-0.0191236285999999</v>
      </c>
      <c r="G210" t="n">
        <v>0.4040360270895751</v>
      </c>
      <c r="H210" t="n">
        <v>0.0132960047570681</v>
      </c>
      <c r="I210" t="n">
        <v>0.4610347109086717</v>
      </c>
      <c r="J210" t="n">
        <v>0.0071132520558213</v>
      </c>
      <c r="K210" t="n">
        <v>0.7059425984577217</v>
      </c>
      <c r="L210" t="b">
        <v>0</v>
      </c>
      <c r="M210" t="b">
        <v>0</v>
      </c>
      <c r="N210" t="inlineStr">
        <is>
          <t>ref</t>
        </is>
      </c>
      <c r="O210" t="n">
        <v>-55</v>
      </c>
      <c r="P210" t="n">
        <v>0.01171</v>
      </c>
      <c r="Q210" t="n">
        <v>30</v>
      </c>
      <c r="R210" t="n">
        <v>0.06287</v>
      </c>
      <c r="S210">
        <f>IMAGE("https://mitra.stanford.edu/kundaje/oak/projects/neuro-variants/variant_position/credible/roussos_2024/variant_figures/roussos_2024.infant.GLU/rs7537165_count_position.png",4,220,900)</f>
        <v/>
      </c>
      <c r="T210">
        <f>IMAGE("https://mitra.stanford.edu/kundaje/oak/projects/neuro-variants/variant_position/credible/roussos_2024/variant_figures/roussos_2024.infant.GLU/rs7537165_profile_position.png",4,220,900)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-0.00413860666</v>
      </c>
      <c r="G211" t="n">
        <v>0.4071716043572763</v>
      </c>
      <c r="H211" t="n">
        <v>0.0343687025968657</v>
      </c>
      <c r="I211" t="n">
        <v>0.0361064782295287</v>
      </c>
      <c r="J211" t="n">
        <v>0.012469410701294</v>
      </c>
      <c r="K211" t="n">
        <v>0.6306556525987617</v>
      </c>
      <c r="L211" t="b">
        <v>0</v>
      </c>
      <c r="M211" t="b">
        <v>0</v>
      </c>
      <c r="N211" t="inlineStr">
        <is>
          <t>ref</t>
        </is>
      </c>
      <c r="O211" t="n">
        <v>75</v>
      </c>
      <c r="P211" t="n">
        <v>0.0103</v>
      </c>
      <c r="Q211" t="n">
        <v>-65</v>
      </c>
      <c r="R211" t="n">
        <v>0.04553</v>
      </c>
      <c r="S211">
        <f>IMAGE("https://mitra.stanford.edu/kundaje/oak/projects/neuro-variants/variant_position/credible/roussos_2024/variant_figures/roussos_2024.infant.GLU/rs2811202_count_position.png",4,220,900)</f>
        <v/>
      </c>
      <c r="T211">
        <f>IMAGE("https://mitra.stanford.edu/kundaje/oak/projects/neuro-variants/variant_position/credible/roussos_2024/variant_figures/roussos_2024.infant.GLU/rs2811202_profile_position.png",4,220,900)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0.009390038598</v>
      </c>
      <c r="G212" t="n">
        <v>0.6378989770070279</v>
      </c>
      <c r="H212" t="n">
        <v>0.0166141784781669</v>
      </c>
      <c r="I212" t="n">
        <v>0.2876914782498577</v>
      </c>
      <c r="J212" t="n">
        <v>0.1182554730042549</v>
      </c>
      <c r="K212" t="n">
        <v>0.1790309309469217</v>
      </c>
      <c r="L212" t="b">
        <v>0</v>
      </c>
      <c r="M212" t="b">
        <v>0</v>
      </c>
      <c r="N212" t="inlineStr">
        <is>
          <t>alt</t>
        </is>
      </c>
      <c r="O212" t="n">
        <v>-40</v>
      </c>
      <c r="P212" t="n">
        <v>0.010475</v>
      </c>
      <c r="Q212" t="n">
        <v>100</v>
      </c>
      <c r="R212" t="n">
        <v>0.02039</v>
      </c>
      <c r="S212">
        <f>IMAGE("https://mitra.stanford.edu/kundaje/oak/projects/neuro-variants/variant_position/credible/roussos_2024/variant_figures/roussos_2024.infant.GLU/rs2811197_count_position.png",4,220,900)</f>
        <v/>
      </c>
      <c r="T212">
        <f>IMAGE("https://mitra.stanford.edu/kundaje/oak/projects/neuro-variants/variant_position/credible/roussos_2024/variant_figures/roussos_2024.infant.GLU/rs2811197_profile_position.png",4,220,900)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0.08710177799999989</v>
      </c>
      <c r="G213" t="n">
        <v>0.0771091152801183</v>
      </c>
      <c r="H213" t="n">
        <v>0.0130337773686759</v>
      </c>
      <c r="I213" t="n">
        <v>0.4735241899166105</v>
      </c>
      <c r="J213" t="n">
        <v>0.0574196962014153</v>
      </c>
      <c r="K213" t="n">
        <v>0.3118955597025981</v>
      </c>
      <c r="L213" t="b">
        <v>0</v>
      </c>
      <c r="M213" t="b">
        <v>0</v>
      </c>
      <c r="N213" t="inlineStr">
        <is>
          <t>alt</t>
        </is>
      </c>
      <c r="O213" t="n">
        <v>-90</v>
      </c>
      <c r="P213" t="n">
        <v>0.01196</v>
      </c>
      <c r="Q213" t="n">
        <v>-100</v>
      </c>
      <c r="R213" t="n">
        <v>0.05493</v>
      </c>
      <c r="S213">
        <f>IMAGE("https://mitra.stanford.edu/kundaje/oak/projects/neuro-variants/variant_position/credible/roussos_2024/variant_figures/roussos_2024.infant.GLU/rs6663670_count_position.png",4,220,900)</f>
        <v/>
      </c>
      <c r="T213">
        <f>IMAGE("https://mitra.stanford.edu/kundaje/oak/projects/neuro-variants/variant_position/credible/roussos_2024/variant_figures/roussos_2024.infant.GLU/rs6663670_profile_position.png",4,220,900)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0.0392938299999999</v>
      </c>
      <c r="G214" t="n">
        <v>0.2461407648247719</v>
      </c>
      <c r="H214" t="n">
        <v>0.0366720578841403</v>
      </c>
      <c r="I214" t="n">
        <v>0.0284038680833797</v>
      </c>
      <c r="J214" t="n">
        <v>0.0144712185012896</v>
      </c>
      <c r="K214" t="n">
        <v>0.6031313602456031</v>
      </c>
      <c r="L214" t="b">
        <v>0</v>
      </c>
      <c r="M214" t="b">
        <v>0</v>
      </c>
      <c r="N214" t="inlineStr">
        <is>
          <t>alt</t>
        </is>
      </c>
      <c r="O214" t="n">
        <v>-90</v>
      </c>
      <c r="P214" t="n">
        <v>0.0263</v>
      </c>
      <c r="Q214" t="n">
        <v>-25</v>
      </c>
      <c r="R214" t="n">
        <v>0.00842</v>
      </c>
      <c r="S214">
        <f>IMAGE("https://mitra.stanford.edu/kundaje/oak/projects/neuro-variants/variant_position/credible/roussos_2024/variant_figures/roussos_2024.infant.GLU/rs72975785_count_position.png",4,220,900)</f>
        <v/>
      </c>
      <c r="T214">
        <f>IMAGE("https://mitra.stanford.edu/kundaje/oak/projects/neuro-variants/variant_position/credible/roussos_2024/variant_figures/roussos_2024.infant.GLU/rs72975785_profile_position.png",4,220,900)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-0.0261477336</v>
      </c>
      <c r="G215" t="n">
        <v>0.3727215870552494</v>
      </c>
      <c r="H215" t="n">
        <v>0.009061901914355601</v>
      </c>
      <c r="I215" t="n">
        <v>0.8247095725557884</v>
      </c>
      <c r="J215" t="n">
        <v>0.0194140082453316</v>
      </c>
      <c r="K215" t="n">
        <v>0.5529426081322292</v>
      </c>
      <c r="L215" t="b">
        <v>0</v>
      </c>
      <c r="M215" t="b">
        <v>0</v>
      </c>
      <c r="N215" t="inlineStr">
        <is>
          <t>ref</t>
        </is>
      </c>
      <c r="O215" t="n">
        <v>30</v>
      </c>
      <c r="P215" t="n">
        <v>0.0118</v>
      </c>
      <c r="Q215" t="n">
        <v>15</v>
      </c>
      <c r="R215" t="n">
        <v>0.02411</v>
      </c>
      <c r="S215">
        <f>IMAGE("https://mitra.stanford.edu/kundaje/oak/projects/neuro-variants/variant_position/credible/roussos_2024/variant_figures/roussos_2024.infant.GLU/rs11590802_count_position.png",4,220,900)</f>
        <v/>
      </c>
      <c r="T215">
        <f>IMAGE("https://mitra.stanford.edu/kundaje/oak/projects/neuro-variants/variant_position/credible/roussos_2024/variant_figures/roussos_2024.infant.GLU/rs11590802_profile_position.png",4,220,900)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0.1262289948</v>
      </c>
      <c r="G216" t="n">
        <v>0.0456361940139047</v>
      </c>
      <c r="H216" t="n">
        <v>0.0254444287998007</v>
      </c>
      <c r="I216" t="n">
        <v>0.1094693663272846</v>
      </c>
      <c r="J216" t="n">
        <v>0.269668643488613</v>
      </c>
      <c r="K216" t="n">
        <v>0.0783901502598728</v>
      </c>
      <c r="L216" t="b">
        <v>0</v>
      </c>
      <c r="M216" t="b">
        <v>0</v>
      </c>
      <c r="N216" t="inlineStr">
        <is>
          <t>alt</t>
        </is>
      </c>
      <c r="O216" t="n">
        <v>-80</v>
      </c>
      <c r="P216" t="n">
        <v>0.006485</v>
      </c>
      <c r="Q216" t="n">
        <v>100</v>
      </c>
      <c r="R216" t="n">
        <v>0.1233</v>
      </c>
      <c r="S216">
        <f>IMAGE("https://mitra.stanford.edu/kundaje/oak/projects/neuro-variants/variant_position/credible/roussos_2024/variant_figures/roussos_2024.infant.GLU/rs4970723_count_position.png",4,220,900)</f>
        <v/>
      </c>
      <c r="T216">
        <f>IMAGE("https://mitra.stanford.edu/kundaje/oak/projects/neuro-variants/variant_position/credible/roussos_2024/variant_figures/roussos_2024.infant.GLU/rs4970723_profile_position.png",4,220,900)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0.0126421125</v>
      </c>
      <c r="G217" t="n">
        <v>0.5646306960138996</v>
      </c>
      <c r="H217" t="n">
        <v>0.0658696924499851</v>
      </c>
      <c r="I217" t="n">
        <v>0.0018950595129078</v>
      </c>
      <c r="J217" t="n">
        <v>0.1046495734032936</v>
      </c>
      <c r="K217" t="n">
        <v>0.2041919172171327</v>
      </c>
      <c r="L217" t="b">
        <v>1</v>
      </c>
      <c r="M217" t="b">
        <v>1</v>
      </c>
      <c r="N217" t="inlineStr">
        <is>
          <t>alt</t>
        </is>
      </c>
      <c r="O217" t="n">
        <v>-65</v>
      </c>
      <c r="P217" t="n">
        <v>0.031</v>
      </c>
      <c r="Q217" t="n">
        <v>100</v>
      </c>
      <c r="R217" t="n">
        <v>0.1543</v>
      </c>
      <c r="S217">
        <f>IMAGE("https://mitra.stanford.edu/kundaje/oak/projects/neuro-variants/variant_position/credible/roussos_2024/variant_figures/roussos_2024.infant.GLU/rs12044989_count_position.png",4,220,900)</f>
        <v/>
      </c>
      <c r="T217">
        <f>IMAGE("https://mitra.stanford.edu/kundaje/oak/projects/neuro-variants/variant_position/credible/roussos_2024/variant_figures/roussos_2024.infant.GLU/rs12044989_profile_position.png",4,220,900)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-0.0310397955999999</v>
      </c>
      <c r="G218" t="n">
        <v>0.3160079003706349</v>
      </c>
      <c r="H218" t="n">
        <v>0.0101965514773616</v>
      </c>
      <c r="I218" t="n">
        <v>0.7092461980615783</v>
      </c>
      <c r="J218" t="n">
        <v>0.0047675213298352</v>
      </c>
      <c r="K218" t="n">
        <v>0.7582918331749933</v>
      </c>
      <c r="L218" t="b">
        <v>0</v>
      </c>
      <c r="M218" t="b">
        <v>0</v>
      </c>
      <c r="N218" t="inlineStr">
        <is>
          <t>ref</t>
        </is>
      </c>
      <c r="O218" t="n">
        <v>85</v>
      </c>
      <c r="P218" t="n">
        <v>0.03079</v>
      </c>
      <c r="Q218" t="n">
        <v>-50</v>
      </c>
      <c r="R218" t="n">
        <v>0.02156</v>
      </c>
      <c r="S218">
        <f>IMAGE("https://mitra.stanford.edu/kundaje/oak/projects/neuro-variants/variant_position/credible/roussos_2024/variant_figures/roussos_2024.infant.GLU/rs56732321_count_position.png",4,220,900)</f>
        <v/>
      </c>
      <c r="T218">
        <f>IMAGE("https://mitra.stanford.edu/kundaje/oak/projects/neuro-variants/variant_position/credible/roussos_2024/variant_figures/roussos_2024.infant.GLU/rs56732321_profile_position.png",4,220,900)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0.001762353</v>
      </c>
      <c r="G219" t="n">
        <v>0.5841081556350003</v>
      </c>
      <c r="H219" t="n">
        <v>0.0089690444217277</v>
      </c>
      <c r="I219" t="n">
        <v>0.8327715665775891</v>
      </c>
      <c r="J219" t="n">
        <v>0.2714797504354152</v>
      </c>
      <c r="K219" t="n">
        <v>0.0764245890651805</v>
      </c>
      <c r="L219" t="b">
        <v>0</v>
      </c>
      <c r="M219" t="b">
        <v>0</v>
      </c>
      <c r="N219" t="inlineStr">
        <is>
          <t>alt</t>
        </is>
      </c>
      <c r="O219" t="n">
        <v>-100</v>
      </c>
      <c r="P219" t="n">
        <v>0.1447</v>
      </c>
      <c r="Q219" t="n">
        <v>-55</v>
      </c>
      <c r="R219" t="n">
        <v>0.05298</v>
      </c>
      <c r="S219">
        <f>IMAGE("https://mitra.stanford.edu/kundaje/oak/projects/neuro-variants/variant_position/credible/roussos_2024/variant_figures/roussos_2024.infant.GLU/rs11165939_count_position.png",4,220,900)</f>
        <v/>
      </c>
      <c r="T219">
        <f>IMAGE("https://mitra.stanford.edu/kundaje/oak/projects/neuro-variants/variant_position/credible/roussos_2024/variant_figures/roussos_2024.infant.GLU/rs11165939_profile_position.png",4,220,900)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-0.0094622037</v>
      </c>
      <c r="G220" t="n">
        <v>0.668490895033133</v>
      </c>
      <c r="H220" t="n">
        <v>0.0089932064940491</v>
      </c>
      <c r="I220" t="n">
        <v>0.8070655337200462</v>
      </c>
      <c r="J220" t="n">
        <v>0.0243116029894838</v>
      </c>
      <c r="K220" t="n">
        <v>0.4982296757156725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0.1257</v>
      </c>
      <c r="Q220" t="n">
        <v>95</v>
      </c>
      <c r="R220" t="n">
        <v>0.09894</v>
      </c>
      <c r="S220">
        <f>IMAGE("https://mitra.stanford.edu/kundaje/oak/projects/neuro-variants/variant_position/credible/roussos_2024/variant_figures/roussos_2024.infant.GLU/rs12077962_count_position.png",4,220,900)</f>
        <v/>
      </c>
      <c r="T220">
        <f>IMAGE("https://mitra.stanford.edu/kundaje/oak/projects/neuro-variants/variant_position/credible/roussos_2024/variant_figures/roussos_2024.infant.GLU/rs12077962_profile_position.png",4,220,900)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-0.00608495476</v>
      </c>
      <c r="G221" t="n">
        <v>0.4922357265645548</v>
      </c>
      <c r="H221" t="n">
        <v>0.0454711065368728</v>
      </c>
      <c r="I221" t="n">
        <v>0.0117304882284435</v>
      </c>
      <c r="J221" t="n">
        <v>0.0745530104279194</v>
      </c>
      <c r="K221" t="n">
        <v>0.2725806058198861</v>
      </c>
      <c r="L221" t="b">
        <v>1</v>
      </c>
      <c r="M221" t="b">
        <v>0</v>
      </c>
      <c r="N221" t="inlineStr">
        <is>
          <t>ref</t>
        </is>
      </c>
      <c r="O221" t="n">
        <v>90</v>
      </c>
      <c r="P221" t="n">
        <v>0.01187</v>
      </c>
      <c r="Q221" t="n">
        <v>-70</v>
      </c>
      <c r="R221" t="n">
        <v>0.02972</v>
      </c>
      <c r="S221">
        <f>IMAGE("https://mitra.stanford.edu/kundaje/oak/projects/neuro-variants/variant_position/credible/roussos_2024/variant_figures/roussos_2024.infant.GLU/rs1198572_count_position.png",4,220,900)</f>
        <v/>
      </c>
      <c r="T221">
        <f>IMAGE("https://mitra.stanford.edu/kundaje/oak/projects/neuro-variants/variant_position/credible/roussos_2024/variant_figures/roussos_2024.infant.GLU/rs1198572_profile_position.png",4,220,900)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-0.01021471406</v>
      </c>
      <c r="G222" t="n">
        <v>0.6002610467348583</v>
      </c>
      <c r="H222" t="n">
        <v>0.0326876072183405</v>
      </c>
      <c r="I222" t="n">
        <v>0.04358709664835</v>
      </c>
      <c r="J222" t="n">
        <v>0.0972651513481337</v>
      </c>
      <c r="K222" t="n">
        <v>0.2181771108373283</v>
      </c>
      <c r="L222" t="b">
        <v>0</v>
      </c>
      <c r="M222" t="b">
        <v>0</v>
      </c>
      <c r="N222" t="inlineStr">
        <is>
          <t>ref</t>
        </is>
      </c>
      <c r="O222" t="n">
        <v>-100</v>
      </c>
      <c r="P222" t="n">
        <v>0.1421</v>
      </c>
      <c r="Q222" t="n">
        <v>-100</v>
      </c>
      <c r="R222" t="n">
        <v>0.11835</v>
      </c>
      <c r="S222">
        <f>IMAGE("https://mitra.stanford.edu/kundaje/oak/projects/neuro-variants/variant_position/credible/roussos_2024/variant_figures/roussos_2024.infant.GLU/rs1702294_count_position.png",4,220,900)</f>
        <v/>
      </c>
      <c r="T222">
        <f>IMAGE("https://mitra.stanford.edu/kundaje/oak/projects/neuro-variants/variant_position/credible/roussos_2024/variant_figures/roussos_2024.infant.GLU/rs1702294_profile_position.png",4,220,900)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0.0286311204399999</v>
      </c>
      <c r="G223" t="n">
        <v>0.2998827471017011</v>
      </c>
      <c r="H223" t="n">
        <v>0.0175851463326134</v>
      </c>
      <c r="I223" t="n">
        <v>0.251898682262465</v>
      </c>
      <c r="J223" t="n">
        <v>0.0377631782005775</v>
      </c>
      <c r="K223" t="n">
        <v>0.410237213754378</v>
      </c>
      <c r="L223" t="b">
        <v>0</v>
      </c>
      <c r="M223" t="b">
        <v>0</v>
      </c>
      <c r="N223" t="inlineStr">
        <is>
          <t>alt</t>
        </is>
      </c>
      <c r="O223" t="n">
        <v>-100</v>
      </c>
      <c r="P223" t="n">
        <v>0.0177</v>
      </c>
      <c r="Q223" t="n">
        <v>45</v>
      </c>
      <c r="R223" t="n">
        <v>0.0398</v>
      </c>
      <c r="S223">
        <f>IMAGE("https://mitra.stanford.edu/kundaje/oak/projects/neuro-variants/variant_position/credible/roussos_2024/variant_figures/roussos_2024.infant.GLU/rs1702291_count_position.png",4,220,900)</f>
        <v/>
      </c>
      <c r="T223">
        <f>IMAGE("https://mitra.stanford.edu/kundaje/oak/projects/neuro-variants/variant_position/credible/roussos_2024/variant_figures/roussos_2024.infant.GLU/rs1702291_profile_position.png",4,220,900)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-0.00703616596</v>
      </c>
      <c r="G224" t="n">
        <v>0.4313811356065156</v>
      </c>
      <c r="H224" t="n">
        <v>0.0109340323178703</v>
      </c>
      <c r="I224" t="n">
        <v>0.6547693218658316</v>
      </c>
      <c r="J224" t="n">
        <v>0.2293106109041204</v>
      </c>
      <c r="K224" t="n">
        <v>0.0954950918836506</v>
      </c>
      <c r="L224" t="b">
        <v>0</v>
      </c>
      <c r="M224" t="b">
        <v>0</v>
      </c>
      <c r="N224" t="inlineStr">
        <is>
          <t>ref</t>
        </is>
      </c>
      <c r="O224" t="n">
        <v>-100</v>
      </c>
      <c r="P224" t="n">
        <v>0.01478</v>
      </c>
      <c r="Q224" t="n">
        <v>85</v>
      </c>
      <c r="R224" t="n">
        <v>0.09950000000000001</v>
      </c>
      <c r="S224">
        <f>IMAGE("https://mitra.stanford.edu/kundaje/oak/projects/neuro-variants/variant_position/credible/roussos_2024/variant_figures/roussos_2024.infant.GLU/rs11808051_count_position.png",4,220,900)</f>
        <v/>
      </c>
      <c r="T224">
        <f>IMAGE("https://mitra.stanford.edu/kundaje/oak/projects/neuro-variants/variant_position/credible/roussos_2024/variant_figures/roussos_2024.infant.GLU/rs11808051_profile_position.png",4,220,900)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-0.1422743872</v>
      </c>
      <c r="G225" t="n">
        <v>0.028735838124086</v>
      </c>
      <c r="H225" t="n">
        <v>0.0350282461411684</v>
      </c>
      <c r="I225" t="n">
        <v>0.0344689734759264</v>
      </c>
      <c r="J225" t="n">
        <v>0.0228730792125046</v>
      </c>
      <c r="K225" t="n">
        <v>0.5252798199183051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0.002945</v>
      </c>
      <c r="Q225" t="n">
        <v>-100</v>
      </c>
      <c r="R225" t="n">
        <v>0.1326</v>
      </c>
      <c r="S225">
        <f>IMAGE("https://mitra.stanford.edu/kundaje/oak/projects/neuro-variants/variant_position/credible/roussos_2024/variant_figures/roussos_2024.infant.GLU/rs12027634_count_position.png",4,220,900)</f>
        <v/>
      </c>
      <c r="T225">
        <f>IMAGE("https://mitra.stanford.edu/kundaje/oak/projects/neuro-variants/variant_position/credible/roussos_2024/variant_figures/roussos_2024.infant.GLU/rs12027634_profile_position.png",4,220,900)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0.0959467672</v>
      </c>
      <c r="G226" t="n">
        <v>0.0733974584467092</v>
      </c>
      <c r="H226" t="n">
        <v>0.0158375790159906</v>
      </c>
      <c r="I226" t="n">
        <v>0.3387155347368437</v>
      </c>
      <c r="J226" t="n">
        <v>0.0489252408562798</v>
      </c>
      <c r="K226" t="n">
        <v>0.3450379972746084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0.2644</v>
      </c>
      <c r="Q226" t="n">
        <v>100</v>
      </c>
      <c r="R226" t="n">
        <v>0.04456</v>
      </c>
      <c r="S226">
        <f>IMAGE("https://mitra.stanford.edu/kundaje/oak/projects/neuro-variants/variant_position/credible/roussos_2024/variant_figures/roussos_2024.infant.GLU/rs4950095_count_position.png",4,220,900)</f>
        <v/>
      </c>
      <c r="T226">
        <f>IMAGE("https://mitra.stanford.edu/kundaje/oak/projects/neuro-variants/variant_position/credible/roussos_2024/variant_figures/roussos_2024.infant.GLU/rs4950095_profile_position.png",4,220,900)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0.0075795174199999</v>
      </c>
      <c r="G227" t="n">
        <v>0.695582117202572</v>
      </c>
      <c r="H227" t="n">
        <v>0.0160691085755059</v>
      </c>
      <c r="I227" t="n">
        <v>0.3117499436017265</v>
      </c>
      <c r="J227" t="n">
        <v>0.0034392292599042</v>
      </c>
      <c r="K227" t="n">
        <v>0.8226667032893442</v>
      </c>
      <c r="L227" t="b">
        <v>0</v>
      </c>
      <c r="M227" t="b">
        <v>0</v>
      </c>
      <c r="N227" t="inlineStr">
        <is>
          <t>alt</t>
        </is>
      </c>
      <c r="O227" t="n">
        <v>100</v>
      </c>
      <c r="P227" t="n">
        <v>0.02069</v>
      </c>
      <c r="Q227" t="n">
        <v>40</v>
      </c>
      <c r="R227" t="n">
        <v>0.1089</v>
      </c>
      <c r="S227">
        <f>IMAGE("https://mitra.stanford.edu/kundaje/oak/projects/neuro-variants/variant_position/credible/roussos_2024/variant_figures/roussos_2024.infant.GLU/rs12567725_count_position.png",4,220,900)</f>
        <v/>
      </c>
      <c r="T227">
        <f>IMAGE("https://mitra.stanford.edu/kundaje/oak/projects/neuro-variants/variant_position/credible/roussos_2024/variant_figures/roussos_2024.infant.GLU/rs12567725_profile_position.png",4,220,900)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-0.0173063562</v>
      </c>
      <c r="G228" t="n">
        <v>0.5001905066182779</v>
      </c>
      <c r="H228" t="n">
        <v>0.0449711228330118</v>
      </c>
      <c r="I228" t="n">
        <v>0.0124956611979662</v>
      </c>
      <c r="J228" t="n">
        <v>0.0068068079102272</v>
      </c>
      <c r="K228" t="n">
        <v>0.7312207042462598</v>
      </c>
      <c r="L228" t="b">
        <v>0</v>
      </c>
      <c r="M228" t="b">
        <v>0</v>
      </c>
      <c r="N228" t="inlineStr">
        <is>
          <t>ref</t>
        </is>
      </c>
      <c r="O228" t="n">
        <v>-60</v>
      </c>
      <c r="P228" t="n">
        <v>0.002869</v>
      </c>
      <c r="Q228" t="n">
        <v>-80</v>
      </c>
      <c r="R228" t="n">
        <v>0.06287</v>
      </c>
      <c r="S228">
        <f>IMAGE("https://mitra.stanford.edu/kundaje/oak/projects/neuro-variants/variant_position/credible/roussos_2024/variant_figures/roussos_2024.infant.GLU/rs2046585_count_position.png",4,220,900)</f>
        <v/>
      </c>
      <c r="T228">
        <f>IMAGE("https://mitra.stanford.edu/kundaje/oak/projects/neuro-variants/variant_position/credible/roussos_2024/variant_figures/roussos_2024.infant.GLU/rs2046585_profile_position.png",4,220,900)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0.0493099019999999</v>
      </c>
      <c r="G229" t="n">
        <v>0.1669622156278667</v>
      </c>
      <c r="H229" t="n">
        <v>0.0108071375477909</v>
      </c>
      <c r="I229" t="n">
        <v>0.6556747798113776</v>
      </c>
      <c r="J229" t="n">
        <v>0.0378502612491456</v>
      </c>
      <c r="K229" t="n">
        <v>0.4061743629518728</v>
      </c>
      <c r="L229" t="b">
        <v>0</v>
      </c>
      <c r="M229" t="b">
        <v>0</v>
      </c>
      <c r="N229" t="inlineStr">
        <is>
          <t>alt</t>
        </is>
      </c>
      <c r="O229" t="n">
        <v>-30</v>
      </c>
      <c r="P229" t="n">
        <v>0.02165</v>
      </c>
      <c r="Q229" t="n">
        <v>-20</v>
      </c>
      <c r="R229" t="n">
        <v>0.03616</v>
      </c>
      <c r="S229">
        <f>IMAGE("https://mitra.stanford.edu/kundaje/oak/projects/neuro-variants/variant_position/credible/roussos_2024/variant_figures/roussos_2024.infant.GLU/rs77509205_count_position.png",4,220,900)</f>
        <v/>
      </c>
      <c r="T229">
        <f>IMAGE("https://mitra.stanford.edu/kundaje/oak/projects/neuro-variants/variant_position/credible/roussos_2024/variant_figures/roussos_2024.infant.GLU/rs77509205_profile_position.png",4,220,900)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-0.0672631352</v>
      </c>
      <c r="G230" t="n">
        <v>0.115604628278062</v>
      </c>
      <c r="H230" t="n">
        <v>0.0202407308702882</v>
      </c>
      <c r="I230" t="n">
        <v>0.1778866087588706</v>
      </c>
      <c r="J230" t="n">
        <v>0.2999823629268722</v>
      </c>
      <c r="K230" t="n">
        <v>0.06822770838786731</v>
      </c>
      <c r="L230" t="b">
        <v>0</v>
      </c>
      <c r="M230" t="b">
        <v>0</v>
      </c>
      <c r="N230" t="inlineStr">
        <is>
          <t>ref</t>
        </is>
      </c>
      <c r="O230" t="n">
        <v>-100</v>
      </c>
      <c r="P230" t="n">
        <v>0.0228</v>
      </c>
      <c r="Q230" t="n">
        <v>-45</v>
      </c>
      <c r="R230" t="n">
        <v>0.0963</v>
      </c>
      <c r="S230">
        <f>IMAGE("https://mitra.stanford.edu/kundaje/oak/projects/neuro-variants/variant_position/credible/roussos_2024/variant_figures/roussos_2024.infant.GLU/rs6537851_count_position.png",4,220,900)</f>
        <v/>
      </c>
      <c r="T230">
        <f>IMAGE("https://mitra.stanford.edu/kundaje/oak/projects/neuro-variants/variant_position/credible/roussos_2024/variant_figures/roussos_2024.infant.GLU/rs6537851_profile_position.png",4,220,900)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-0.0018898752</v>
      </c>
      <c r="G231" t="n">
        <v>0.1570110185485252</v>
      </c>
      <c r="H231" t="n">
        <v>0.015504649958638</v>
      </c>
      <c r="I231" t="n">
        <v>0.3380113757341625</v>
      </c>
      <c r="J231" t="n">
        <v>0.4913743689234771</v>
      </c>
      <c r="K231" t="n">
        <v>0.0320571272328303</v>
      </c>
      <c r="L231" t="b">
        <v>0</v>
      </c>
      <c r="M231" t="b">
        <v>0</v>
      </c>
      <c r="N231" t="inlineStr">
        <is>
          <t>ref</t>
        </is>
      </c>
      <c r="O231" t="n">
        <v>-80</v>
      </c>
      <c r="P231" t="n">
        <v>0.003967</v>
      </c>
      <c r="Q231" t="n">
        <v>-80</v>
      </c>
      <c r="R231" t="n">
        <v>0.0713</v>
      </c>
      <c r="S231">
        <f>IMAGE("https://mitra.stanford.edu/kundaje/oak/projects/neuro-variants/variant_position/credible/roussos_2024/variant_figures/roussos_2024.infant.GLU/rs11102896_count_position.png",4,220,900)</f>
        <v/>
      </c>
      <c r="T231">
        <f>IMAGE("https://mitra.stanford.edu/kundaje/oak/projects/neuro-variants/variant_position/credible/roussos_2024/variant_figures/roussos_2024.infant.GLU/rs11102896_profile_position.png",4,220,900)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0.1327870712</v>
      </c>
      <c r="G232" t="n">
        <v>0.0298965964350027</v>
      </c>
      <c r="H232" t="n">
        <v>0.035073539196679</v>
      </c>
      <c r="I232" t="n">
        <v>0.0337524492820674</v>
      </c>
      <c r="J232" t="n">
        <v>0.0145627108181397</v>
      </c>
      <c r="K232" t="n">
        <v>0.6064435843422048</v>
      </c>
      <c r="L232" t="b">
        <v>0</v>
      </c>
      <c r="M232" t="b">
        <v>0</v>
      </c>
      <c r="N232" t="inlineStr">
        <is>
          <t>alt</t>
        </is>
      </c>
      <c r="O232" t="n">
        <v>100</v>
      </c>
      <c r="P232" t="n">
        <v>0.01237</v>
      </c>
      <c r="Q232" t="n">
        <v>-70</v>
      </c>
      <c r="R232" t="n">
        <v>0.05334</v>
      </c>
      <c r="S232">
        <f>IMAGE("https://mitra.stanford.edu/kundaje/oak/projects/neuro-variants/variant_position/credible/roussos_2024/variant_figures/roussos_2024.infant.GLU/rs2223926_count_position.png",4,220,900)</f>
        <v/>
      </c>
      <c r="T232">
        <f>IMAGE("https://mitra.stanford.edu/kundaje/oak/projects/neuro-variants/variant_position/credible/roussos_2024/variant_figures/roussos_2024.infant.GLU/rs2223926_profile_position.png",4,220,900)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-0.040823739</v>
      </c>
      <c r="G233" t="n">
        <v>0.2259381437849119</v>
      </c>
      <c r="H233" t="n">
        <v>0.0536192349513687</v>
      </c>
      <c r="I233" t="n">
        <v>0.0054119234895901</v>
      </c>
      <c r="J233" t="n">
        <v>0.031125024802134</v>
      </c>
      <c r="K233" t="n">
        <v>0.4691165126890146</v>
      </c>
      <c r="L233" t="b">
        <v>1</v>
      </c>
      <c r="M233" t="b">
        <v>0</v>
      </c>
      <c r="N233" t="inlineStr">
        <is>
          <t>ref</t>
        </is>
      </c>
      <c r="O233" t="n">
        <v>65</v>
      </c>
      <c r="P233" t="n">
        <v>0.009639999999999999</v>
      </c>
      <c r="Q233" t="n">
        <v>100</v>
      </c>
      <c r="R233" t="n">
        <v>0.10315</v>
      </c>
      <c r="S233">
        <f>IMAGE("https://mitra.stanford.edu/kundaje/oak/projects/neuro-variants/variant_position/credible/roussos_2024/variant_figures/roussos_2024.infant.GLU/rs12745199_count_position.png",4,220,900)</f>
        <v/>
      </c>
      <c r="T233">
        <f>IMAGE("https://mitra.stanford.edu/kundaje/oak/projects/neuro-variants/variant_position/credible/roussos_2024/variant_figures/roussos_2024.infant.GLU/rs12745199_profile_position.png",4,220,900)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-0.000300248866</v>
      </c>
      <c r="G234" t="n">
        <v>0.6337089943483583</v>
      </c>
      <c r="H234" t="n">
        <v>0.0407853192241414</v>
      </c>
      <c r="I234" t="n">
        <v>0.0189794332393855</v>
      </c>
      <c r="J234" t="n">
        <v>0.0208844992173548</v>
      </c>
      <c r="K234" t="n">
        <v>0.5257117519736746</v>
      </c>
      <c r="L234" t="b">
        <v>1</v>
      </c>
      <c r="M234" t="b">
        <v>0</v>
      </c>
      <c r="N234" t="inlineStr">
        <is>
          <t>ref</t>
        </is>
      </c>
      <c r="O234" t="n">
        <v>55</v>
      </c>
      <c r="P234" t="n">
        <v>0.0393</v>
      </c>
      <c r="Q234" t="n">
        <v>40</v>
      </c>
      <c r="R234" t="n">
        <v>0.0902</v>
      </c>
      <c r="S234">
        <f>IMAGE("https://mitra.stanford.edu/kundaje/oak/projects/neuro-variants/variant_position/credible/roussos_2024/variant_figures/roussos_2024.infant.GLU/rs6687454_count_position.png",4,220,900)</f>
        <v/>
      </c>
      <c r="T234">
        <f>IMAGE("https://mitra.stanford.edu/kundaje/oak/projects/neuro-variants/variant_position/credible/roussos_2024/variant_figures/roussos_2024.infant.GLU/rs6687454_profile_position.png",4,220,900)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-0.233874952</v>
      </c>
      <c r="G235" t="n">
        <v>0.0068149087206654</v>
      </c>
      <c r="H235" t="n">
        <v>0.073062753479406</v>
      </c>
      <c r="I235" t="n">
        <v>0.0011572994971505</v>
      </c>
      <c r="J235" t="n">
        <v>0.0228510328710949</v>
      </c>
      <c r="K235" t="n">
        <v>0.5098262834236744</v>
      </c>
      <c r="L235" t="b">
        <v>1</v>
      </c>
      <c r="M235" t="b">
        <v>1</v>
      </c>
      <c r="N235" t="inlineStr">
        <is>
          <t>ref</t>
        </is>
      </c>
      <c r="O235" t="n">
        <v>75</v>
      </c>
      <c r="P235" t="n">
        <v>0.05634</v>
      </c>
      <c r="Q235" t="n">
        <v>85</v>
      </c>
      <c r="R235" t="n">
        <v>0.05762</v>
      </c>
      <c r="S235">
        <f>IMAGE("https://mitra.stanford.edu/kundaje/oak/projects/neuro-variants/variant_position/credible/roussos_2024/variant_figures/roussos_2024.infant.GLU/rs77391665_count_position.png",4,220,900)</f>
        <v/>
      </c>
      <c r="T235">
        <f>IMAGE("https://mitra.stanford.edu/kundaje/oak/projects/neuro-variants/variant_position/credible/roussos_2024/variant_figures/roussos_2024.infant.GLU/rs77391665_profile_position.png",4,220,900)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0.00319132514</v>
      </c>
      <c r="G236" t="n">
        <v>0.7872256859694999</v>
      </c>
      <c r="H236" t="n">
        <v>0.0409086710015358</v>
      </c>
      <c r="I236" t="n">
        <v>0.0184517877490661</v>
      </c>
      <c r="J236" t="n">
        <v>0.0050431005974558</v>
      </c>
      <c r="K236" t="n">
        <v>0.7497067154118076</v>
      </c>
      <c r="L236" t="b">
        <v>0</v>
      </c>
      <c r="M236" t="b">
        <v>0</v>
      </c>
      <c r="N236" t="inlineStr">
        <is>
          <t>alt</t>
        </is>
      </c>
      <c r="O236" t="n">
        <v>-5</v>
      </c>
      <c r="P236" t="n">
        <v>0.004883</v>
      </c>
      <c r="Q236" t="n">
        <v>-5</v>
      </c>
      <c r="R236" t="n">
        <v>0.003174</v>
      </c>
      <c r="S236">
        <f>IMAGE("https://mitra.stanford.edu/kundaje/oak/projects/neuro-variants/variant_position/credible/roussos_2024/variant_figures/roussos_2024.infant.GLU/rs12063059_count_position.png",4,220,900)</f>
        <v/>
      </c>
      <c r="T236">
        <f>IMAGE("https://mitra.stanford.edu/kundaje/oak/projects/neuro-variants/variant_position/credible/roussos_2024/variant_figures/roussos_2024.infant.GLU/rs12063059_profile_position.png",4,220,900)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0.0909234498</v>
      </c>
      <c r="G237" t="n">
        <v>0.0586525056811773</v>
      </c>
      <c r="H237" t="n">
        <v>0.0161889096085882</v>
      </c>
      <c r="I237" t="n">
        <v>0.3054308704526639</v>
      </c>
      <c r="J237" t="n">
        <v>0.0263178200577613</v>
      </c>
      <c r="K237" t="n">
        <v>0.4790472339595224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0.1067</v>
      </c>
      <c r="Q237" t="n">
        <v>85</v>
      </c>
      <c r="R237" t="n">
        <v>0.1656</v>
      </c>
      <c r="S237">
        <f>IMAGE("https://mitra.stanford.edu/kundaje/oak/projects/neuro-variants/variant_position/credible/roussos_2024/variant_figures/roussos_2024.infant.GLU/rs72692865_count_position.png",4,220,900)</f>
        <v/>
      </c>
      <c r="T237">
        <f>IMAGE("https://mitra.stanford.edu/kundaje/oak/projects/neuro-variants/variant_position/credible/roussos_2024/variant_figures/roussos_2024.infant.GLU/rs72692865_profile_position.png",4,220,900)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-0.009552240579999999</v>
      </c>
      <c r="G238" t="n">
        <v>0.6569134705076348</v>
      </c>
      <c r="H238" t="n">
        <v>0.0298098629723155</v>
      </c>
      <c r="I238" t="n">
        <v>0.05902282877286</v>
      </c>
      <c r="J238" t="n">
        <v>0.0147820719151656</v>
      </c>
      <c r="K238" t="n">
        <v>0.6006131321092756</v>
      </c>
      <c r="L238" t="b">
        <v>0</v>
      </c>
      <c r="M238" t="b">
        <v>0</v>
      </c>
      <c r="N238" t="inlineStr">
        <is>
          <t>ref</t>
        </is>
      </c>
      <c r="O238" t="n">
        <v>-100</v>
      </c>
      <c r="P238" t="n">
        <v>0.3523</v>
      </c>
      <c r="Q238" t="n">
        <v>-85</v>
      </c>
      <c r="R238" t="n">
        <v>0.1277</v>
      </c>
      <c r="S238">
        <f>IMAGE("https://mitra.stanford.edu/kundaje/oak/projects/neuro-variants/variant_position/credible/roussos_2024/variant_figures/roussos_2024.infant.GLU/rs72692866_count_position.png",4,220,900)</f>
        <v/>
      </c>
      <c r="T238">
        <f>IMAGE("https://mitra.stanford.edu/kundaje/oak/projects/neuro-variants/variant_position/credible/roussos_2024/variant_figures/roussos_2024.infant.GLU/rs72692866_profile_position.png",4,220,900)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0.0349589971999999</v>
      </c>
      <c r="G239" t="n">
        <v>0.2610517350126807</v>
      </c>
      <c r="H239" t="n">
        <v>0.0482184183308632</v>
      </c>
      <c r="I239" t="n">
        <v>0.0089213449246952</v>
      </c>
      <c r="J239" t="n">
        <v>0.0275601313961947</v>
      </c>
      <c r="K239" t="n">
        <v>0.4728209578579588</v>
      </c>
      <c r="L239" t="b">
        <v>1</v>
      </c>
      <c r="M239" t="b">
        <v>0</v>
      </c>
      <c r="N239" t="inlineStr">
        <is>
          <t>alt</t>
        </is>
      </c>
      <c r="O239" t="n">
        <v>100</v>
      </c>
      <c r="P239" t="n">
        <v>0.05313</v>
      </c>
      <c r="Q239" t="n">
        <v>95</v>
      </c>
      <c r="R239" t="n">
        <v>0.08295</v>
      </c>
      <c r="S239">
        <f>IMAGE("https://mitra.stanford.edu/kundaje/oak/projects/neuro-variants/variant_position/credible/roussos_2024/variant_figures/roussos_2024.infant.GLU/rs72692870_count_position.png",4,220,900)</f>
        <v/>
      </c>
      <c r="T239">
        <f>IMAGE("https://mitra.stanford.edu/kundaje/oak/projects/neuro-variants/variant_position/credible/roussos_2024/variant_figures/roussos_2024.infant.GLU/rs72692870_profile_position.png",4,220,900)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-0.0286796826</v>
      </c>
      <c r="G240" t="n">
        <v>0.3374746852064658</v>
      </c>
      <c r="H240" t="n">
        <v>0.0522462901338859</v>
      </c>
      <c r="I240" t="n">
        <v>0.0061633636414169</v>
      </c>
      <c r="J240" t="n">
        <v>0.0095482704645163</v>
      </c>
      <c r="K240" t="n">
        <v>0.663643191063983</v>
      </c>
      <c r="L240" t="b">
        <v>0</v>
      </c>
      <c r="M240" t="b">
        <v>0</v>
      </c>
      <c r="N240" t="inlineStr">
        <is>
          <t>ref</t>
        </is>
      </c>
      <c r="O240" t="n">
        <v>-100</v>
      </c>
      <c r="P240" t="n">
        <v>0.0173</v>
      </c>
      <c r="Q240" t="n">
        <v>60</v>
      </c>
      <c r="R240" t="n">
        <v>0.0386</v>
      </c>
      <c r="S240">
        <f>IMAGE("https://mitra.stanford.edu/kundaje/oak/projects/neuro-variants/variant_position/credible/roussos_2024/variant_figures/roussos_2024.infant.GLU/rs12074281_count_position.png",4,220,900)</f>
        <v/>
      </c>
      <c r="T240">
        <f>IMAGE("https://mitra.stanford.edu/kundaje/oak/projects/neuro-variants/variant_position/credible/roussos_2024/variant_figures/roussos_2024.infant.GLU/rs12074281_profile_position.png",4,220,900)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-0.060255258</v>
      </c>
      <c r="G241" t="n">
        <v>0.1416936380525659</v>
      </c>
      <c r="H241" t="n">
        <v>0.0105111544788762</v>
      </c>
      <c r="I241" t="n">
        <v>0.6753211813609331</v>
      </c>
      <c r="J241" t="n">
        <v>0.0572852135188164</v>
      </c>
      <c r="K241" t="n">
        <v>0.3146951226511978</v>
      </c>
      <c r="L241" t="b">
        <v>0</v>
      </c>
      <c r="M241" t="b">
        <v>0</v>
      </c>
      <c r="N241" t="inlineStr">
        <is>
          <t>ref</t>
        </is>
      </c>
      <c r="O241" t="n">
        <v>-100</v>
      </c>
      <c r="P241" t="n">
        <v>0.01884</v>
      </c>
      <c r="Q241" t="n">
        <v>20</v>
      </c>
      <c r="R241" t="n">
        <v>0.0503</v>
      </c>
      <c r="S241">
        <f>IMAGE("https://mitra.stanford.edu/kundaje/oak/projects/neuro-variants/variant_position/credible/roussos_2024/variant_figures/roussos_2024.infant.GLU/rs56212907_count_position.png",4,220,900)</f>
        <v/>
      </c>
      <c r="T241">
        <f>IMAGE("https://mitra.stanford.edu/kundaje/oak/projects/neuro-variants/variant_position/credible/roussos_2024/variant_figures/roussos_2024.infant.GLU/rs56212907_profile_position.png",4,220,900)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0.0305513694</v>
      </c>
      <c r="G242" t="n">
        <v>0.3106289588618413</v>
      </c>
      <c r="H242" t="n">
        <v>0.0594320177110213</v>
      </c>
      <c r="I242" t="n">
        <v>0.003256712732633</v>
      </c>
      <c r="J242" t="n">
        <v>0.0553539540113317</v>
      </c>
      <c r="K242" t="n">
        <v>0.3164805367245372</v>
      </c>
      <c r="L242" t="b">
        <v>1</v>
      </c>
      <c r="M242" t="b">
        <v>1</v>
      </c>
      <c r="N242" t="inlineStr">
        <is>
          <t>alt</t>
        </is>
      </c>
      <c r="O242" t="n">
        <v>100</v>
      </c>
      <c r="P242" t="n">
        <v>0.0337</v>
      </c>
      <c r="Q242" t="n">
        <v>100</v>
      </c>
      <c r="R242" t="n">
        <v>0.12366</v>
      </c>
      <c r="S242">
        <f>IMAGE("https://mitra.stanford.edu/kundaje/oak/projects/neuro-variants/variant_position/credible/roussos_2024/variant_figures/roussos_2024.infant.GLU/rs72694905_count_position.png",4,220,900)</f>
        <v/>
      </c>
      <c r="T242">
        <f>IMAGE("https://mitra.stanford.edu/kundaje/oak/projects/neuro-variants/variant_position/credible/roussos_2024/variant_figures/roussos_2024.infant.GLU/rs72694905_profile_position.png",4,220,900)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0.09934989399999999</v>
      </c>
      <c r="G243" t="n">
        <v>0.0549456189390721</v>
      </c>
      <c r="H243" t="n">
        <v>0.0232158820493289</v>
      </c>
      <c r="I243" t="n">
        <v>0.1315791581101051</v>
      </c>
      <c r="J243" t="n">
        <v>0.2411142220948433</v>
      </c>
      <c r="K243" t="n">
        <v>0.0890365406563297</v>
      </c>
      <c r="L243" t="b">
        <v>0</v>
      </c>
      <c r="M243" t="b">
        <v>0</v>
      </c>
      <c r="N243" t="inlineStr">
        <is>
          <t>alt</t>
        </is>
      </c>
      <c r="O243" t="n">
        <v>-90</v>
      </c>
      <c r="P243" t="n">
        <v>0.002777</v>
      </c>
      <c r="Q243" t="n">
        <v>-50</v>
      </c>
      <c r="R243" t="n">
        <v>0.09619999999999999</v>
      </c>
      <c r="S243">
        <f>IMAGE("https://mitra.stanford.edu/kundaje/oak/projects/neuro-variants/variant_position/credible/roussos_2024/variant_figures/roussos_2024.infant.GLU/rs72694928_count_position.png",4,220,900)</f>
        <v/>
      </c>
      <c r="T243">
        <f>IMAGE("https://mitra.stanford.edu/kundaje/oak/projects/neuro-variants/variant_position/credible/roussos_2024/variant_figures/roussos_2024.infant.GLU/rs72694928_profile_position.png",4,220,900)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-0.00515551396</v>
      </c>
      <c r="G244" t="n">
        <v>0.6532616965295622</v>
      </c>
      <c r="H244" t="n">
        <v>0.0424534318021024</v>
      </c>
      <c r="I244" t="n">
        <v>0.0157245276224009</v>
      </c>
      <c r="J244" t="n">
        <v>0.0035351308450362</v>
      </c>
      <c r="K244" t="n">
        <v>0.7876096063536253</v>
      </c>
      <c r="L244" t="b">
        <v>0</v>
      </c>
      <c r="M244" t="b">
        <v>0</v>
      </c>
      <c r="N244" t="inlineStr">
        <is>
          <t>ref</t>
        </is>
      </c>
      <c r="O244" t="n">
        <v>55</v>
      </c>
      <c r="P244" t="n">
        <v>0.006058</v>
      </c>
      <c r="Q244" t="n">
        <v>20</v>
      </c>
      <c r="R244" t="n">
        <v>0.02478</v>
      </c>
      <c r="S244">
        <f>IMAGE("https://mitra.stanford.edu/kundaje/oak/projects/neuro-variants/variant_position/credible/roussos_2024/variant_figures/roussos_2024.infant.GLU/rs56369603_count_position.png",4,220,900)</f>
        <v/>
      </c>
      <c r="T244">
        <f>IMAGE("https://mitra.stanford.edu/kundaje/oak/projects/neuro-variants/variant_position/credible/roussos_2024/variant_figures/roussos_2024.infant.GLU/rs56369603_profile_position.png",4,220,900)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-0.22337285</v>
      </c>
      <c r="G245" t="n">
        <v>0.0075778814358053</v>
      </c>
      <c r="H245" t="n">
        <v>0.0351044859364553</v>
      </c>
      <c r="I245" t="n">
        <v>0.0334655257790175</v>
      </c>
      <c r="J245" t="n">
        <v>0.0331477766264688</v>
      </c>
      <c r="K245" t="n">
        <v>0.430114367241014</v>
      </c>
      <c r="L245" t="b">
        <v>1</v>
      </c>
      <c r="M245" t="b">
        <v>1</v>
      </c>
      <c r="N245" t="inlineStr">
        <is>
          <t>ref</t>
        </is>
      </c>
      <c r="O245" t="n">
        <v>95</v>
      </c>
      <c r="P245" t="n">
        <v>0.03047</v>
      </c>
      <c r="Q245" t="n">
        <v>5</v>
      </c>
      <c r="R245" t="n">
        <v>0.001953</v>
      </c>
      <c r="S245">
        <f>IMAGE("https://mitra.stanford.edu/kundaje/oak/projects/neuro-variants/variant_position/credible/roussos_2024/variant_figures/roussos_2024.infant.GLU/rs72694944_count_position.png",4,220,900)</f>
        <v/>
      </c>
      <c r="T245">
        <f>IMAGE("https://mitra.stanford.edu/kundaje/oak/projects/neuro-variants/variant_position/credible/roussos_2024/variant_figures/roussos_2024.infant.GLU/rs72694944_profile_position.png",4,220,900)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0.00107815104</v>
      </c>
      <c r="G246" t="n">
        <v>0.8715622418645854</v>
      </c>
      <c r="H246" t="n">
        <v>0.0314697430546646</v>
      </c>
      <c r="I246" t="n">
        <v>0.0493019694986848</v>
      </c>
      <c r="J246" t="n">
        <v>0.0019830684097973</v>
      </c>
      <c r="K246" t="n">
        <v>0.8383770645545978</v>
      </c>
      <c r="L246" t="b">
        <v>0</v>
      </c>
      <c r="M246" t="b">
        <v>0</v>
      </c>
      <c r="N246" t="inlineStr">
        <is>
          <t>alt</t>
        </is>
      </c>
      <c r="O246" t="n">
        <v>65</v>
      </c>
      <c r="P246" t="n">
        <v>0.00983</v>
      </c>
      <c r="Q246" t="n">
        <v>100</v>
      </c>
      <c r="R246" t="n">
        <v>0.0924</v>
      </c>
      <c r="S246">
        <f>IMAGE("https://mitra.stanford.edu/kundaje/oak/projects/neuro-variants/variant_position/credible/roussos_2024/variant_figures/roussos_2024.infant.GLU/rs72694960_count_position.png",4,220,900)</f>
        <v/>
      </c>
      <c r="T246">
        <f>IMAGE("https://mitra.stanford.edu/kundaje/oak/projects/neuro-variants/variant_position/credible/roussos_2024/variant_figures/roussos_2024.infant.GLU/rs72694960_profile_position.png",4,220,900)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0.0164853474</v>
      </c>
      <c r="G247" t="n">
        <v>0.4918728752129174</v>
      </c>
      <c r="H247" t="n">
        <v>0.0393369383223763</v>
      </c>
      <c r="I247" t="n">
        <v>0.0215535612146244</v>
      </c>
      <c r="J247" t="n">
        <v>0.0285235565157961</v>
      </c>
      <c r="K247" t="n">
        <v>0.4646375552776927</v>
      </c>
      <c r="L247" t="b">
        <v>0</v>
      </c>
      <c r="M247" t="b">
        <v>0</v>
      </c>
      <c r="N247" t="inlineStr">
        <is>
          <t>alt</t>
        </is>
      </c>
      <c r="O247" t="n">
        <v>-65</v>
      </c>
      <c r="P247" t="n">
        <v>0.01196</v>
      </c>
      <c r="Q247" t="n">
        <v>-80</v>
      </c>
      <c r="R247" t="n">
        <v>0.02995</v>
      </c>
      <c r="S247">
        <f>IMAGE("https://mitra.stanford.edu/kundaje/oak/projects/neuro-variants/variant_position/credible/roussos_2024/variant_figures/roussos_2024.infant.GLU/rs11204824_count_position.png",4,220,900)</f>
        <v/>
      </c>
      <c r="T247">
        <f>IMAGE("https://mitra.stanford.edu/kundaje/oak/projects/neuro-variants/variant_position/credible/roussos_2024/variant_figures/roussos_2024.infant.GLU/rs11204824_profile_position.png",4,220,900)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0.0762767582</v>
      </c>
      <c r="G248" t="n">
        <v>0.0888621174699543</v>
      </c>
      <c r="H248" t="n">
        <v>0.0270311421860948</v>
      </c>
      <c r="I248" t="n">
        <v>0.0806716533775246</v>
      </c>
      <c r="J248" t="n">
        <v>0.1656826649617495</v>
      </c>
      <c r="K248" t="n">
        <v>0.1336420189834508</v>
      </c>
      <c r="L248" t="b">
        <v>0</v>
      </c>
      <c r="M248" t="b">
        <v>0</v>
      </c>
      <c r="N248" t="inlineStr">
        <is>
          <t>alt</t>
        </is>
      </c>
      <c r="O248" t="n">
        <v>10</v>
      </c>
      <c r="P248" t="n">
        <v>0.003601</v>
      </c>
      <c r="Q248" t="n">
        <v>100</v>
      </c>
      <c r="R248" t="n">
        <v>0.3774</v>
      </c>
      <c r="S248">
        <f>IMAGE("https://mitra.stanford.edu/kundaje/oak/projects/neuro-variants/variant_position/credible/roussos_2024/variant_figures/roussos_2024.infant.GLU/rs10888415_count_position.png",4,220,900)</f>
        <v/>
      </c>
      <c r="T248">
        <f>IMAGE("https://mitra.stanford.edu/kundaje/oak/projects/neuro-variants/variant_position/credible/roussos_2024/variant_figures/roussos_2024.infant.GLU/rs10888415_profile_position.png",4,220,900)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0.01628773808</v>
      </c>
      <c r="G249" t="n">
        <v>0.5082220015434742</v>
      </c>
      <c r="H249" t="n">
        <v>0.0618488157772547</v>
      </c>
      <c r="I249" t="n">
        <v>0.0027393491307034</v>
      </c>
      <c r="J249" t="n">
        <v>0.0682455521506205</v>
      </c>
      <c r="K249" t="n">
        <v>0.2785912826078106</v>
      </c>
      <c r="L249" t="b">
        <v>1</v>
      </c>
      <c r="M249" t="b">
        <v>1</v>
      </c>
      <c r="N249" t="inlineStr">
        <is>
          <t>alt</t>
        </is>
      </c>
      <c r="O249" t="n">
        <v>100</v>
      </c>
      <c r="P249" t="n">
        <v>0.008789999999999999</v>
      </c>
      <c r="Q249" t="n">
        <v>-65</v>
      </c>
      <c r="R249" t="n">
        <v>0.2046</v>
      </c>
      <c r="S249">
        <f>IMAGE("https://mitra.stanford.edu/kundaje/oak/projects/neuro-variants/variant_position/credible/roussos_2024/variant_figures/roussos_2024.infant.GLU/rs58479084_count_position.png",4,220,900)</f>
        <v/>
      </c>
      <c r="T249">
        <f>IMAGE("https://mitra.stanford.edu/kundaje/oak/projects/neuro-variants/variant_position/credible/roussos_2024/variant_figures/roussos_2024.infant.GLU/rs58479084_profile_position.png",4,220,900)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-0.0319123032</v>
      </c>
      <c r="G250" t="n">
        <v>0.3027525484321322</v>
      </c>
      <c r="H250" t="n">
        <v>0.0553903516273737</v>
      </c>
      <c r="I250" t="n">
        <v>0.0047052047777097</v>
      </c>
      <c r="J250" t="n">
        <v>0.0208536343393813</v>
      </c>
      <c r="K250" t="n">
        <v>0.5256513600667319</v>
      </c>
      <c r="L250" t="b">
        <v>1</v>
      </c>
      <c r="M250" t="b">
        <v>0</v>
      </c>
      <c r="N250" t="inlineStr">
        <is>
          <t>ref</t>
        </is>
      </c>
      <c r="O250" t="n">
        <v>-50</v>
      </c>
      <c r="P250" t="n">
        <v>0.007587</v>
      </c>
      <c r="Q250" t="n">
        <v>50</v>
      </c>
      <c r="R250" t="n">
        <v>0.0334</v>
      </c>
      <c r="S250">
        <f>IMAGE("https://mitra.stanford.edu/kundaje/oak/projects/neuro-variants/variant_position/credible/roussos_2024/variant_figures/roussos_2024.infant.GLU/rs144529710_count_position.png",4,220,900)</f>
        <v/>
      </c>
      <c r="T250">
        <f>IMAGE("https://mitra.stanford.edu/kundaje/oak/projects/neuro-variants/variant_position/credible/roussos_2024/variant_figures/roussos_2024.infant.GLU/rs144529710_profile_position.png",4,220,900)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-0.08389252799999999</v>
      </c>
      <c r="G251" t="n">
        <v>0.07076448181366719</v>
      </c>
      <c r="H251" t="n">
        <v>0.0217831825054335</v>
      </c>
      <c r="I251" t="n">
        <v>0.1474923424928339</v>
      </c>
      <c r="J251" t="n">
        <v>0.0636279459423708</v>
      </c>
      <c r="K251" t="n">
        <v>0.2949782207268319</v>
      </c>
      <c r="L251" t="b">
        <v>0</v>
      </c>
      <c r="M251" t="b">
        <v>0</v>
      </c>
      <c r="N251" t="inlineStr">
        <is>
          <t>ref</t>
        </is>
      </c>
      <c r="O251" t="n">
        <v>100</v>
      </c>
      <c r="P251" t="n">
        <v>0.02206</v>
      </c>
      <c r="Q251" t="n">
        <v>55</v>
      </c>
      <c r="R251" t="n">
        <v>0.10474</v>
      </c>
      <c r="S251">
        <f>IMAGE("https://mitra.stanford.edu/kundaje/oak/projects/neuro-variants/variant_position/credible/roussos_2024/variant_figures/roussos_2024.infant.GLU/rs6690942_count_position.png",4,220,900)</f>
        <v/>
      </c>
      <c r="T251">
        <f>IMAGE("https://mitra.stanford.edu/kundaje/oak/projects/neuro-variants/variant_position/credible/roussos_2024/variant_figures/roussos_2024.infant.GLU/rs6690942_profile_position.png",4,220,900)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-0.021900439</v>
      </c>
      <c r="G252" t="n">
        <v>0.4241286135610849</v>
      </c>
      <c r="H252" t="n">
        <v>0.013795988620588</v>
      </c>
      <c r="I252" t="n">
        <v>0.4292858892676386</v>
      </c>
      <c r="J252" t="n">
        <v>0.0949778434268832</v>
      </c>
      <c r="K252" t="n">
        <v>0.2245812268844734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0.012985</v>
      </c>
      <c r="Q252" t="n">
        <v>-100</v>
      </c>
      <c r="R252" t="n">
        <v>0.13</v>
      </c>
      <c r="S252">
        <f>IMAGE("https://mitra.stanford.edu/kundaje/oak/projects/neuro-variants/variant_position/credible/roussos_2024/variant_figures/roussos_2024.infant.GLU/rs2280473_count_position.png",4,220,900)</f>
        <v/>
      </c>
      <c r="T252">
        <f>IMAGE("https://mitra.stanford.edu/kundaje/oak/projects/neuro-variants/variant_position/credible/roussos_2024/variant_figures/roussos_2024.infant.GLU/rs2280473_profile_position.png",4,220,900)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-0.0148464344599999</v>
      </c>
      <c r="G253" t="n">
        <v>0.5388075944858065</v>
      </c>
      <c r="H253" t="n">
        <v>0.0300504332641477</v>
      </c>
      <c r="I253" t="n">
        <v>0.0571021220167772</v>
      </c>
      <c r="J253" t="n">
        <v>0.0160420203267267</v>
      </c>
      <c r="K253" t="n">
        <v>0.575198016532962</v>
      </c>
      <c r="L253" t="b">
        <v>0</v>
      </c>
      <c r="M253" t="b">
        <v>0</v>
      </c>
      <c r="N253" t="inlineStr">
        <is>
          <t>ref</t>
        </is>
      </c>
      <c r="O253" t="n">
        <v>60</v>
      </c>
      <c r="P253" t="n">
        <v>0.02539</v>
      </c>
      <c r="Q253" t="n">
        <v>-40</v>
      </c>
      <c r="R253" t="n">
        <v>0.008880000000000001</v>
      </c>
      <c r="S253">
        <f>IMAGE("https://mitra.stanford.edu/kundaje/oak/projects/neuro-variants/variant_position/credible/roussos_2024/variant_figures/roussos_2024.infant.GLU/rs11800001_count_position.png",4,220,900)</f>
        <v/>
      </c>
      <c r="T253">
        <f>IMAGE("https://mitra.stanford.edu/kundaje/oak/projects/neuro-variants/variant_position/credible/roussos_2024/variant_figures/roussos_2024.infant.GLU/rs11800001_profile_position.png",4,220,900)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-0.0505717686</v>
      </c>
      <c r="G254" t="n">
        <v>0.1819398299908388</v>
      </c>
      <c r="H254" t="n">
        <v>0.0112675668006944</v>
      </c>
      <c r="I254" t="n">
        <v>0.6240648824119832</v>
      </c>
      <c r="J254" t="n">
        <v>0.0075045746158424</v>
      </c>
      <c r="K254" t="n">
        <v>0.6987455647764006</v>
      </c>
      <c r="L254" t="b">
        <v>0</v>
      </c>
      <c r="M254" t="b">
        <v>0</v>
      </c>
      <c r="N254" t="inlineStr">
        <is>
          <t>ref</t>
        </is>
      </c>
      <c r="O254" t="n">
        <v>75</v>
      </c>
      <c r="P254" t="n">
        <v>0.011536</v>
      </c>
      <c r="Q254" t="n">
        <v>45</v>
      </c>
      <c r="R254" t="n">
        <v>0.002747</v>
      </c>
      <c r="S254">
        <f>IMAGE("https://mitra.stanford.edu/kundaje/oak/projects/neuro-variants/variant_position/credible/roussos_2024/variant_figures/roussos_2024.infant.GLU/rs11264559_count_position.png",4,220,900)</f>
        <v/>
      </c>
      <c r="T254">
        <f>IMAGE("https://mitra.stanford.edu/kundaje/oak/projects/neuro-variants/variant_position/credible/roussos_2024/variant_figures/roussos_2024.infant.GLU/rs11264559_profile_position.png",4,220,900)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-0.0781029661999999</v>
      </c>
      <c r="G255" t="n">
        <v>0.080666402648403</v>
      </c>
      <c r="H255" t="n">
        <v>0.011579699913371</v>
      </c>
      <c r="I255" t="n">
        <v>0.5884681971062686</v>
      </c>
      <c r="J255" t="n">
        <v>0.026735598227474</v>
      </c>
      <c r="K255" t="n">
        <v>0.4784261755229721</v>
      </c>
      <c r="L255" t="b">
        <v>0</v>
      </c>
      <c r="M255" t="b">
        <v>0</v>
      </c>
      <c r="N255" t="inlineStr">
        <is>
          <t>ref</t>
        </is>
      </c>
      <c r="O255" t="n">
        <v>100</v>
      </c>
      <c r="P255" t="n">
        <v>0.004646</v>
      </c>
      <c r="Q255" t="n">
        <v>25</v>
      </c>
      <c r="R255" t="n">
        <v>0.03674</v>
      </c>
      <c r="S255">
        <f>IMAGE("https://mitra.stanford.edu/kundaje/oak/projects/neuro-variants/variant_position/credible/roussos_2024/variant_figures/roussos_2024.infant.GLU/rs6671132_count_position.png",4,220,900)</f>
        <v/>
      </c>
      <c r="T255">
        <f>IMAGE("https://mitra.stanford.edu/kundaje/oak/projects/neuro-variants/variant_position/credible/roussos_2024/variant_figures/roussos_2024.infant.GLU/rs6671132_profile_position.png",4,220,900)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-0.000964551704</v>
      </c>
      <c r="G256" t="n">
        <v>0.7784558264870255</v>
      </c>
      <c r="H256" t="n">
        <v>0.0119018619767755</v>
      </c>
      <c r="I256" t="n">
        <v>0.5688830363845889</v>
      </c>
      <c r="J256" t="n">
        <v>0.009960537048876599</v>
      </c>
      <c r="K256" t="n">
        <v>0.6615724964059796</v>
      </c>
      <c r="L256" t="b">
        <v>0</v>
      </c>
      <c r="M256" t="b">
        <v>0</v>
      </c>
      <c r="N256" t="inlineStr">
        <is>
          <t>ref</t>
        </is>
      </c>
      <c r="O256" t="n">
        <v>5</v>
      </c>
      <c r="P256" t="n">
        <v>0.001221</v>
      </c>
      <c r="Q256" t="n">
        <v>10</v>
      </c>
      <c r="R256" t="n">
        <v>0.00598</v>
      </c>
      <c r="S256">
        <f>IMAGE("https://mitra.stanford.edu/kundaje/oak/projects/neuro-variants/variant_position/credible/roussos_2024/variant_figures/roussos_2024.infant.GLU/rs10908525_count_position.png",4,220,900)</f>
        <v/>
      </c>
      <c r="T256">
        <f>IMAGE("https://mitra.stanford.edu/kundaje/oak/projects/neuro-variants/variant_position/credible/roussos_2024/variant_figures/roussos_2024.infant.GLU/rs10908525_profile_position.png",4,220,900)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0.090680363</v>
      </c>
      <c r="G257" t="n">
        <v>0.0591950334795364</v>
      </c>
      <c r="H257" t="n">
        <v>0.0169576490712833</v>
      </c>
      <c r="I257" t="n">
        <v>0.2753042663408652</v>
      </c>
      <c r="J257" t="n">
        <v>0.7466555700081571</v>
      </c>
      <c r="K257" t="n">
        <v>0.0112524877057415</v>
      </c>
      <c r="L257" t="b">
        <v>0</v>
      </c>
      <c r="M257" t="b">
        <v>0</v>
      </c>
      <c r="N257" t="inlineStr">
        <is>
          <t>alt</t>
        </is>
      </c>
      <c r="O257" t="n">
        <v>5</v>
      </c>
      <c r="P257" t="n">
        <v>0.002384</v>
      </c>
      <c r="Q257" t="n">
        <v>-45</v>
      </c>
      <c r="R257" t="n">
        <v>0.1155</v>
      </c>
      <c r="S257">
        <f>IMAGE("https://mitra.stanford.edu/kundaje/oak/projects/neuro-variants/variant_position/credible/roussos_2024/variant_figures/roussos_2024.infant.GLU/rs4845357_count_position.png",4,220,900)</f>
        <v/>
      </c>
      <c r="T257">
        <f>IMAGE("https://mitra.stanford.edu/kundaje/oak/projects/neuro-variants/variant_position/credible/roussos_2024/variant_figures/roussos_2024.infant.GLU/rs4845357_profile_position.png",4,220,900)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0.0259494442</v>
      </c>
      <c r="G258" t="n">
        <v>0.3480078575177438</v>
      </c>
      <c r="H258" t="n">
        <v>0.0291909486088469</v>
      </c>
      <c r="I258" t="n">
        <v>0.06701681502874191</v>
      </c>
      <c r="J258" t="n">
        <v>0.0149363963050331</v>
      </c>
      <c r="K258" t="n">
        <v>0.5954631134354036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0.1434</v>
      </c>
      <c r="Q258" t="n">
        <v>-100</v>
      </c>
      <c r="R258" t="n">
        <v>0.07779999999999999</v>
      </c>
      <c r="S258">
        <f>IMAGE("https://mitra.stanford.edu/kundaje/oak/projects/neuro-variants/variant_position/credible/roussos_2024/variant_figures/roussos_2024.infant.GLU/rs10796968_count_position.png",4,220,900)</f>
        <v/>
      </c>
      <c r="T258">
        <f>IMAGE("https://mitra.stanford.edu/kundaje/oak/projects/neuro-variants/variant_position/credible/roussos_2024/variant_figures/roussos_2024.infant.GLU/rs10796968_profile_position.png",4,220,900)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-0.171009312</v>
      </c>
      <c r="G259" t="n">
        <v>0.0180820747159389</v>
      </c>
      <c r="H259" t="n">
        <v>0.038473035272436</v>
      </c>
      <c r="I259" t="n">
        <v>0.0247493011411946</v>
      </c>
      <c r="J259" t="n">
        <v>0.0515355276791815</v>
      </c>
      <c r="K259" t="n">
        <v>0.3346507433889831</v>
      </c>
      <c r="L259" t="b">
        <v>1</v>
      </c>
      <c r="M259" t="b">
        <v>0</v>
      </c>
      <c r="N259" t="inlineStr">
        <is>
          <t>ref</t>
        </is>
      </c>
      <c r="O259" t="n">
        <v>-5</v>
      </c>
      <c r="P259" t="n">
        <v>0.0001831</v>
      </c>
      <c r="Q259" t="n">
        <v>60</v>
      </c>
      <c r="R259" t="n">
        <v>0.04163</v>
      </c>
      <c r="S259">
        <f>IMAGE("https://mitra.stanford.edu/kundaje/oak/projects/neuro-variants/variant_position/credible/roussos_2024/variant_figures/roussos_2024.infant.GLU/rs3748848_count_position.png",4,220,900)</f>
        <v/>
      </c>
      <c r="T259">
        <f>IMAGE("https://mitra.stanford.edu/kundaje/oak/projects/neuro-variants/variant_position/credible/roussos_2024/variant_figures/roussos_2024.infant.GLU/rs3748848_profile_position.png",4,220,900)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0.0431423684</v>
      </c>
      <c r="G260" t="n">
        <v>0.2080127145796254</v>
      </c>
      <c r="H260" t="n">
        <v>0.0149994046678073</v>
      </c>
      <c r="I260" t="n">
        <v>0.360067146106531</v>
      </c>
      <c r="J260" t="n">
        <v>0.0198064331224233</v>
      </c>
      <c r="K260" t="n">
        <v>0.5402413822191019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0.05588</v>
      </c>
      <c r="Q260" t="n">
        <v>-45</v>
      </c>
      <c r="R260" t="n">
        <v>0.02963</v>
      </c>
      <c r="S260">
        <f>IMAGE("https://mitra.stanford.edu/kundaje/oak/projects/neuro-variants/variant_position/credible/roussos_2024/variant_figures/roussos_2024.infant.GLU/rs11586593_count_position.png",4,220,900)</f>
        <v/>
      </c>
      <c r="T260">
        <f>IMAGE("https://mitra.stanford.edu/kundaje/oak/projects/neuro-variants/variant_position/credible/roussos_2024/variant_figures/roussos_2024.infant.GLU/rs11586593_profile_position.png",4,220,900)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0.0929038704</v>
      </c>
      <c r="G261" t="n">
        <v>0.0611343426603286</v>
      </c>
      <c r="H261" t="n">
        <v>0.0210116636124484</v>
      </c>
      <c r="I261" t="n">
        <v>0.165354242992651</v>
      </c>
      <c r="J261" t="n">
        <v>0.1505864326814964</v>
      </c>
      <c r="K261" t="n">
        <v>0.1460502597417576</v>
      </c>
      <c r="L261" t="b">
        <v>0</v>
      </c>
      <c r="M261" t="b">
        <v>0</v>
      </c>
      <c r="N261" t="inlineStr">
        <is>
          <t>alt</t>
        </is>
      </c>
      <c r="O261" t="n">
        <v>75</v>
      </c>
      <c r="P261" t="n">
        <v>0.000351</v>
      </c>
      <c r="Q261" t="n">
        <v>-90</v>
      </c>
      <c r="R261" t="n">
        <v>0.1282</v>
      </c>
      <c r="S261">
        <f>IMAGE("https://mitra.stanford.edu/kundaje/oak/projects/neuro-variants/variant_position/credible/roussos_2024/variant_figures/roussos_2024.infant.GLU/rs946682_count_position.png",4,220,900)</f>
        <v/>
      </c>
      <c r="T261">
        <f>IMAGE("https://mitra.stanford.edu/kundaje/oak/projects/neuro-variants/variant_position/credible/roussos_2024/variant_figures/roussos_2024.infant.GLU/rs946682_profile_position.png",4,220,900)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-0.0911025348</v>
      </c>
      <c r="G262" t="n">
        <v>0.0645703848358921</v>
      </c>
      <c r="H262" t="n">
        <v>0.0216718873131286</v>
      </c>
      <c r="I262" t="n">
        <v>0.150639983216454</v>
      </c>
      <c r="J262" t="n">
        <v>0.1553506470601203</v>
      </c>
      <c r="K262" t="n">
        <v>0.1400052044091376</v>
      </c>
      <c r="L262" t="b">
        <v>0</v>
      </c>
      <c r="M262" t="b">
        <v>0</v>
      </c>
      <c r="N262" t="inlineStr">
        <is>
          <t>ref</t>
        </is>
      </c>
      <c r="O262" t="n">
        <v>55</v>
      </c>
      <c r="P262" t="n">
        <v>0.00511</v>
      </c>
      <c r="Q262" t="n">
        <v>80</v>
      </c>
      <c r="R262" t="n">
        <v>0.1377</v>
      </c>
      <c r="S262">
        <f>IMAGE("https://mitra.stanford.edu/kundaje/oak/projects/neuro-variants/variant_position/credible/roussos_2024/variant_figures/roussos_2024.infant.GLU/rs10737494_count_position.png",4,220,900)</f>
        <v/>
      </c>
      <c r="T262">
        <f>IMAGE("https://mitra.stanford.edu/kundaje/oak/projects/neuro-variants/variant_position/credible/roussos_2024/variant_figures/roussos_2024.infant.GLU/rs10737494_profile_position.png",4,220,900)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-0.016855651</v>
      </c>
      <c r="G263" t="n">
        <v>0.4762118756233944</v>
      </c>
      <c r="H263" t="n">
        <v>0.0380887256907043</v>
      </c>
      <c r="I263" t="n">
        <v>0.024663867342099</v>
      </c>
      <c r="J263" t="n">
        <v>0.0138473070393967</v>
      </c>
      <c r="K263" t="n">
        <v>0.6069603891140805</v>
      </c>
      <c r="L263" t="b">
        <v>0</v>
      </c>
      <c r="M263" t="b">
        <v>0</v>
      </c>
      <c r="N263" t="inlineStr">
        <is>
          <t>ref</t>
        </is>
      </c>
      <c r="O263" t="n">
        <v>-95</v>
      </c>
      <c r="P263" t="n">
        <v>0.01648</v>
      </c>
      <c r="Q263" t="n">
        <v>-100</v>
      </c>
      <c r="R263" t="n">
        <v>0.1265</v>
      </c>
      <c r="S263">
        <f>IMAGE("https://mitra.stanford.edu/kundaje/oak/projects/neuro-variants/variant_position/credible/roussos_2024/variant_figures/roussos_2024.infant.GLU/rs3963479_count_position.png",4,220,900)</f>
        <v/>
      </c>
      <c r="T263">
        <f>IMAGE("https://mitra.stanford.edu/kundaje/oak/projects/neuro-variants/variant_position/credible/roussos_2024/variant_figures/roussos_2024.infant.GLU/rs3963479_profile_position.png",4,220,900)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0.1745174679999999</v>
      </c>
      <c r="G264" t="n">
        <v>0.0146821278067306</v>
      </c>
      <c r="H264" t="n">
        <v>0.0352588426236916</v>
      </c>
      <c r="I264" t="n">
        <v>0.0331723622985053</v>
      </c>
      <c r="J264" t="n">
        <v>0.05027447695055</v>
      </c>
      <c r="K264" t="n">
        <v>0.371496778564998</v>
      </c>
      <c r="L264" t="b">
        <v>1</v>
      </c>
      <c r="M264" t="b">
        <v>0</v>
      </c>
      <c r="N264" t="inlineStr">
        <is>
          <t>alt</t>
        </is>
      </c>
      <c r="O264" t="n">
        <v>-90</v>
      </c>
      <c r="P264" t="n">
        <v>0.00219</v>
      </c>
      <c r="Q264" t="n">
        <v>-90</v>
      </c>
      <c r="R264" t="n">
        <v>0.0857</v>
      </c>
      <c r="S264">
        <f>IMAGE("https://mitra.stanford.edu/kundaje/oak/projects/neuro-variants/variant_position/credible/roussos_2024/variant_figures/roussos_2024.infant.GLU/rs1932355_count_position.png",4,220,900)</f>
        <v/>
      </c>
      <c r="T264">
        <f>IMAGE("https://mitra.stanford.edu/kundaje/oak/projects/neuro-variants/variant_position/credible/roussos_2024/variant_figures/roussos_2024.infant.GLU/rs1932355_profile_position.png",4,220,900)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-0.009272249559999999</v>
      </c>
      <c r="G265" t="n">
        <v>0.5783803105861827</v>
      </c>
      <c r="H265" t="n">
        <v>0.0349881208692317</v>
      </c>
      <c r="I265" t="n">
        <v>0.0339342003953028</v>
      </c>
      <c r="J265" t="n">
        <v>0.004968143036663</v>
      </c>
      <c r="K265" t="n">
        <v>0.7829877441846401</v>
      </c>
      <c r="L265" t="b">
        <v>0</v>
      </c>
      <c r="M265" t="b">
        <v>0</v>
      </c>
      <c r="N265" t="inlineStr">
        <is>
          <t>ref</t>
        </is>
      </c>
      <c r="O265" t="n">
        <v>-95</v>
      </c>
      <c r="P265" t="n">
        <v>0.0209</v>
      </c>
      <c r="Q265" t="n">
        <v>-10</v>
      </c>
      <c r="R265" t="n">
        <v>0.00592</v>
      </c>
      <c r="S265">
        <f>IMAGE("https://mitra.stanford.edu/kundaje/oak/projects/neuro-variants/variant_position/credible/roussos_2024/variant_figures/roussos_2024.infant.GLU/rs6683086_count_position.png",4,220,900)</f>
        <v/>
      </c>
      <c r="T265">
        <f>IMAGE("https://mitra.stanford.edu/kundaje/oak/projects/neuro-variants/variant_position/credible/roussos_2024/variant_figures/roussos_2024.infant.GLU/rs6683086_profile_position.png",4,220,900)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-0.007705556748</v>
      </c>
      <c r="G266" t="n">
        <v>0.7002088400000933</v>
      </c>
      <c r="H266" t="n">
        <v>0.0396925695371499</v>
      </c>
      <c r="I266" t="n">
        <v>0.020880936096244</v>
      </c>
      <c r="J266" t="n">
        <v>0.0591481293679313</v>
      </c>
      <c r="K266" t="n">
        <v>0.3051989731147365</v>
      </c>
      <c r="L266" t="b">
        <v>0</v>
      </c>
      <c r="M266" t="b">
        <v>0</v>
      </c>
      <c r="N266" t="inlineStr">
        <is>
          <t>ref</t>
        </is>
      </c>
      <c r="O266" t="n">
        <v>-45</v>
      </c>
      <c r="P266" t="n">
        <v>0.00586</v>
      </c>
      <c r="Q266" t="n">
        <v>85</v>
      </c>
      <c r="R266" t="n">
        <v>0.2126</v>
      </c>
      <c r="S266">
        <f>IMAGE("https://mitra.stanford.edu/kundaje/oak/projects/neuro-variants/variant_position/credible/roussos_2024/variant_figures/roussos_2024.infant.GLU/rs1934230_count_position.png",4,220,900)</f>
        <v/>
      </c>
      <c r="T266">
        <f>IMAGE("https://mitra.stanford.edu/kundaje/oak/projects/neuro-variants/variant_position/credible/roussos_2024/variant_figures/roussos_2024.infant.GLU/rs1934230_profile_position.png",4,220,900)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0.0587275283999999</v>
      </c>
      <c r="G267" t="n">
        <v>0.1258042863662515</v>
      </c>
      <c r="H267" t="n">
        <v>0.0104213430875266</v>
      </c>
      <c r="I267" t="n">
        <v>0.6968835352516628</v>
      </c>
      <c r="J267" t="n">
        <v>0.0270541678608434</v>
      </c>
      <c r="K267" t="n">
        <v>0.4712211352508864</v>
      </c>
      <c r="L267" t="b">
        <v>0</v>
      </c>
      <c r="M267" t="b">
        <v>0</v>
      </c>
      <c r="N267" t="inlineStr">
        <is>
          <t>alt</t>
        </is>
      </c>
      <c r="O267" t="n">
        <v>100</v>
      </c>
      <c r="P267" t="n">
        <v>0.0101</v>
      </c>
      <c r="Q267" t="n">
        <v>45</v>
      </c>
      <c r="R267" t="n">
        <v>0.0443</v>
      </c>
      <c r="S267">
        <f>IMAGE("https://mitra.stanford.edu/kundaje/oak/projects/neuro-variants/variant_position/credible/roussos_2024/variant_figures/roussos_2024.infant.GLU/rs10799961_count_position.png",4,220,900)</f>
        <v/>
      </c>
      <c r="T267">
        <f>IMAGE("https://mitra.stanford.edu/kundaje/oak/projects/neuro-variants/variant_position/credible/roussos_2024/variant_figures/roussos_2024.infant.GLU/rs10799961_profile_position.png",4,220,900)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-0.0331727808</v>
      </c>
      <c r="G268" t="n">
        <v>0.288552423282461</v>
      </c>
      <c r="H268" t="n">
        <v>0.0602310110021479</v>
      </c>
      <c r="I268" t="n">
        <v>0.003013284076671</v>
      </c>
      <c r="J268" t="n">
        <v>0.0066524835203597</v>
      </c>
      <c r="K268" t="n">
        <v>0.7393272396602629</v>
      </c>
      <c r="L268" t="b">
        <v>0</v>
      </c>
      <c r="M268" t="b">
        <v>0</v>
      </c>
      <c r="N268" t="inlineStr">
        <is>
          <t>ref</t>
        </is>
      </c>
      <c r="O268" t="n">
        <v>35</v>
      </c>
      <c r="P268" t="n">
        <v>0.001831</v>
      </c>
      <c r="Q268" t="n">
        <v>0</v>
      </c>
      <c r="R268" t="n">
        <v>0</v>
      </c>
      <c r="S268">
        <f>IMAGE("https://mitra.stanford.edu/kundaje/oak/projects/neuro-variants/variant_position/credible/roussos_2024/variant_figures/roussos_2024.infant.GLU/rs3856207_count_position.png",4,220,900)</f>
        <v/>
      </c>
      <c r="T268">
        <f>IMAGE("https://mitra.stanford.edu/kundaje/oak/projects/neuro-variants/variant_position/credible/roussos_2024/variant_figures/roussos_2024.infant.GLU/rs3856207_profile_position.png",4,220,900)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0.01054360174</v>
      </c>
      <c r="G269" t="n">
        <v>0.6158095596615645</v>
      </c>
      <c r="H269" t="n">
        <v>0.020265498571859</v>
      </c>
      <c r="I269" t="n">
        <v>0.177480967282603</v>
      </c>
      <c r="J269" t="n">
        <v>0.0043861196234484</v>
      </c>
      <c r="K269" t="n">
        <v>0.7809376911393446</v>
      </c>
      <c r="L269" t="b">
        <v>0</v>
      </c>
      <c r="M269" t="b">
        <v>0</v>
      </c>
      <c r="N269" t="inlineStr">
        <is>
          <t>alt</t>
        </is>
      </c>
      <c r="O269" t="n">
        <v>-100</v>
      </c>
      <c r="P269" t="n">
        <v>0.3455</v>
      </c>
      <c r="Q269" t="n">
        <v>-100</v>
      </c>
      <c r="R269" t="n">
        <v>0.11566</v>
      </c>
      <c r="S269">
        <f>IMAGE("https://mitra.stanford.edu/kundaje/oak/projects/neuro-variants/variant_position/credible/roussos_2024/variant_figures/roussos_2024.infant.GLU/rs969029_count_position.png",4,220,900)</f>
        <v/>
      </c>
      <c r="T269">
        <f>IMAGE("https://mitra.stanford.edu/kundaje/oak/projects/neuro-variants/variant_position/credible/roussos_2024/variant_figures/roussos_2024.infant.GLU/rs969029_profile_position.png",4,220,900)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-0.0017795156</v>
      </c>
      <c r="G270" t="n">
        <v>0.3866874092090905</v>
      </c>
      <c r="H270" t="n">
        <v>0.0352552577866912</v>
      </c>
      <c r="I270" t="n">
        <v>0.0331315030707672</v>
      </c>
      <c r="J270" t="n">
        <v>0.0992834939041865</v>
      </c>
      <c r="K270" t="n">
        <v>0.2127573723148996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0.009766</v>
      </c>
      <c r="Q270" t="n">
        <v>-15</v>
      </c>
      <c r="R270" t="n">
        <v>0.03125</v>
      </c>
      <c r="S270">
        <f>IMAGE("https://mitra.stanford.edu/kundaje/oak/projects/neuro-variants/variant_position/credible/roussos_2024/variant_figures/roussos_2024.infant.GLU/rs61826814_count_position.png",4,220,900)</f>
        <v/>
      </c>
      <c r="T270">
        <f>IMAGE("https://mitra.stanford.edu/kundaje/oak/projects/neuro-variants/variant_position/credible/roussos_2024/variant_figures/roussos_2024.infant.GLU/rs61826814_profile_position.png",4,220,900)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-0.0002926184999999</v>
      </c>
      <c r="G271" t="n">
        <v>0.6543362145270148</v>
      </c>
      <c r="H271" t="n">
        <v>0.01009735710586</v>
      </c>
      <c r="I271" t="n">
        <v>0.7344670169710658</v>
      </c>
      <c r="J271" t="n">
        <v>0.0159207654489736</v>
      </c>
      <c r="K271" t="n">
        <v>0.581646218718525</v>
      </c>
      <c r="L271" t="b">
        <v>0</v>
      </c>
      <c r="M271" t="b">
        <v>0</v>
      </c>
      <c r="N271" t="inlineStr">
        <is>
          <t>ref</t>
        </is>
      </c>
      <c r="O271" t="n">
        <v>-45</v>
      </c>
      <c r="P271" t="n">
        <v>0.007057</v>
      </c>
      <c r="Q271" t="n">
        <v>100</v>
      </c>
      <c r="R271" t="n">
        <v>0.03815</v>
      </c>
      <c r="S271">
        <f>IMAGE("https://mitra.stanford.edu/kundaje/oak/projects/neuro-variants/variant_position/credible/roussos_2024/variant_figures/roussos_2024.infant.GLU/rs61827870_count_position.png",4,220,900)</f>
        <v/>
      </c>
      <c r="T271">
        <f>IMAGE("https://mitra.stanford.edu/kundaje/oak/projects/neuro-variants/variant_position/credible/roussos_2024/variant_figures/roussos_2024.infant.GLU/rs61827870_profile_position.png",4,220,900)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-0.09186569</v>
      </c>
      <c r="G272" t="n">
        <v>0.0684676395367729</v>
      </c>
      <c r="H272" t="n">
        <v>0.0158708496504965</v>
      </c>
      <c r="I272" t="n">
        <v>0.3300934495193222</v>
      </c>
      <c r="J272" t="n">
        <v>0.0112535549725522</v>
      </c>
      <c r="K272" t="n">
        <v>0.6471594145081667</v>
      </c>
      <c r="L272" t="b">
        <v>0</v>
      </c>
      <c r="M272" t="b">
        <v>0</v>
      </c>
      <c r="N272" t="inlineStr">
        <is>
          <t>ref</t>
        </is>
      </c>
      <c r="O272" t="n">
        <v>75</v>
      </c>
      <c r="P272" t="n">
        <v>0.2974</v>
      </c>
      <c r="Q272" t="n">
        <v>85</v>
      </c>
      <c r="R272" t="n">
        <v>0.1967</v>
      </c>
      <c r="S272">
        <f>IMAGE("https://mitra.stanford.edu/kundaje/oak/projects/neuro-variants/variant_position/credible/roussos_2024/variant_figures/roussos_2024.infant.GLU/rs28804123_count_position.png",4,220,900)</f>
        <v/>
      </c>
      <c r="T272">
        <f>IMAGE("https://mitra.stanford.edu/kundaje/oak/projects/neuro-variants/variant_position/credible/roussos_2024/variant_figures/roussos_2024.infant.GLU/rs28804123_profile_position.png",4,220,900)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0.05122462</v>
      </c>
      <c r="G273" t="n">
        <v>0.1560640243995261</v>
      </c>
      <c r="H273" t="n">
        <v>0.0504135645870008</v>
      </c>
      <c r="I273" t="n">
        <v>0.0072881490903682</v>
      </c>
      <c r="J273" t="n">
        <v>0.0061277805948102</v>
      </c>
      <c r="K273" t="n">
        <v>0.7272887065276457</v>
      </c>
      <c r="L273" t="b">
        <v>0</v>
      </c>
      <c r="M273" t="b">
        <v>0</v>
      </c>
      <c r="N273" t="inlineStr">
        <is>
          <t>alt</t>
        </is>
      </c>
      <c r="O273" t="n">
        <v>60</v>
      </c>
      <c r="P273" t="n">
        <v>0.07729999999999999</v>
      </c>
      <c r="Q273" t="n">
        <v>30</v>
      </c>
      <c r="R273" t="n">
        <v>0.0985</v>
      </c>
      <c r="S273">
        <f>IMAGE("https://mitra.stanford.edu/kundaje/oak/projects/neuro-variants/variant_position/credible/roussos_2024/variant_figures/roussos_2024.infant.GLU/rs9425757_count_position.png",4,220,900)</f>
        <v/>
      </c>
      <c r="T273">
        <f>IMAGE("https://mitra.stanford.edu/kundaje/oak/projects/neuro-variants/variant_position/credible/roussos_2024/variant_figures/roussos_2024.infant.GLU/rs9425757_profile_position.png",4,220,900)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0.145744576</v>
      </c>
      <c r="G274" t="n">
        <v>0.023253548220241</v>
      </c>
      <c r="H274" t="n">
        <v>0.0184524450055343</v>
      </c>
      <c r="I274" t="n">
        <v>0.2372383692066017</v>
      </c>
      <c r="J274" t="n">
        <v>0.0107431821689189</v>
      </c>
      <c r="K274" t="n">
        <v>0.6460162856674864</v>
      </c>
      <c r="L274" t="b">
        <v>0</v>
      </c>
      <c r="M274" t="b">
        <v>0</v>
      </c>
      <c r="N274" t="inlineStr">
        <is>
          <t>alt</t>
        </is>
      </c>
      <c r="O274" t="n">
        <v>100</v>
      </c>
      <c r="P274" t="n">
        <v>0.1946</v>
      </c>
      <c r="Q274" t="n">
        <v>100</v>
      </c>
      <c r="R274" t="n">
        <v>0.0526</v>
      </c>
      <c r="S274">
        <f>IMAGE("https://mitra.stanford.edu/kundaje/oak/projects/neuro-variants/variant_position/credible/roussos_2024/variant_figures/roussos_2024.infant.GLU/rs9425765_count_position.png",4,220,900)</f>
        <v/>
      </c>
      <c r="T274">
        <f>IMAGE("https://mitra.stanford.edu/kundaje/oak/projects/neuro-variants/variant_position/credible/roussos_2024/variant_figures/roussos_2024.infant.GLU/rs9425765_profile_position.png",4,220,900)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0.0076261485999999</v>
      </c>
      <c r="G275" t="n">
        <v>0.6923648958111276</v>
      </c>
      <c r="H275" t="n">
        <v>0.0298343186184237</v>
      </c>
      <c r="I275" t="n">
        <v>0.0584124349280136</v>
      </c>
      <c r="J275" t="n">
        <v>0.0055788266937101</v>
      </c>
      <c r="K275" t="n">
        <v>0.7398173475905122</v>
      </c>
      <c r="L275" t="b">
        <v>0</v>
      </c>
      <c r="M275" t="b">
        <v>0</v>
      </c>
      <c r="N275" t="inlineStr">
        <is>
          <t>alt</t>
        </is>
      </c>
      <c r="O275" t="n">
        <v>30</v>
      </c>
      <c r="P275" t="n">
        <v>0.004395</v>
      </c>
      <c r="Q275" t="n">
        <v>70</v>
      </c>
      <c r="R275" t="n">
        <v>0.01276</v>
      </c>
      <c r="S275">
        <f>IMAGE("https://mitra.stanford.edu/kundaje/oak/projects/neuro-variants/variant_position/credible/roussos_2024/variant_figures/roussos_2024.infant.GLU/rs60265316_count_position.png",4,220,900)</f>
        <v/>
      </c>
      <c r="T275">
        <f>IMAGE("https://mitra.stanford.edu/kundaje/oak/projects/neuro-variants/variant_position/credible/roussos_2024/variant_figures/roussos_2024.infant.GLU/rs60265316_profile_position.png",4,220,900)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-0.0121026413</v>
      </c>
      <c r="G276" t="n">
        <v>0.5862486933550474</v>
      </c>
      <c r="H276" t="n">
        <v>0.0100074512414073</v>
      </c>
      <c r="I276" t="n">
        <v>0.7428019771390465</v>
      </c>
      <c r="J276" t="n">
        <v>0.09267400074957551</v>
      </c>
      <c r="K276" t="n">
        <v>0.2208255345963431</v>
      </c>
      <c r="L276" t="b">
        <v>0</v>
      </c>
      <c r="M276" t="b">
        <v>0</v>
      </c>
      <c r="N276" t="inlineStr">
        <is>
          <t>ref</t>
        </is>
      </c>
      <c r="O276" t="n">
        <v>65</v>
      </c>
      <c r="P276" t="n">
        <v>0.01315</v>
      </c>
      <c r="Q276" t="n">
        <v>40</v>
      </c>
      <c r="R276" t="n">
        <v>0.0818</v>
      </c>
      <c r="S276">
        <f>IMAGE("https://mitra.stanford.edu/kundaje/oak/projects/neuro-variants/variant_position/credible/roussos_2024/variant_figures/roussos_2024.infant.GLU/rs1322775_count_position.png",4,220,900)</f>
        <v/>
      </c>
      <c r="T276">
        <f>IMAGE("https://mitra.stanford.edu/kundaje/oak/projects/neuro-variants/variant_position/credible/roussos_2024/variant_figures/roussos_2024.infant.GLU/rs1322775_profile_position.png",4,220,900)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0.0003066977599999</v>
      </c>
      <c r="G277" t="n">
        <v>0.7753446161719768</v>
      </c>
      <c r="H277" t="n">
        <v>0.0327322270163227</v>
      </c>
      <c r="I277" t="n">
        <v>0.0430175504557177</v>
      </c>
      <c r="J277" t="n">
        <v>0.1109570316805925</v>
      </c>
      <c r="K277" t="n">
        <v>0.1934865933607492</v>
      </c>
      <c r="L277" t="b">
        <v>0</v>
      </c>
      <c r="M277" t="b">
        <v>0</v>
      </c>
      <c r="N277" t="inlineStr">
        <is>
          <t>alt</t>
        </is>
      </c>
      <c r="O277" t="n">
        <v>-20</v>
      </c>
      <c r="P277" t="n">
        <v>0.0004272</v>
      </c>
      <c r="Q277" t="n">
        <v>50</v>
      </c>
      <c r="R277" t="n">
        <v>0.03198</v>
      </c>
      <c r="S277">
        <f>IMAGE("https://mitra.stanford.edu/kundaje/oak/projects/neuro-variants/variant_position/credible/roussos_2024/variant_figures/roussos_2024.infant.GLU/rs7349095_count_position.png",4,220,900)</f>
        <v/>
      </c>
      <c r="T277">
        <f>IMAGE("https://mitra.stanford.edu/kundaje/oak/projects/neuro-variants/variant_position/credible/roussos_2024/variant_figures/roussos_2024.infant.GLU/rs7349095_profile_position.png",4,220,900)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-0.0023968417599999</v>
      </c>
      <c r="G278" t="n">
        <v>0.4947510381522216</v>
      </c>
      <c r="H278" t="n">
        <v>0.0475985777052754</v>
      </c>
      <c r="I278" t="n">
        <v>0.0098363429900333</v>
      </c>
      <c r="J278" t="n">
        <v>0.0325900041888048</v>
      </c>
      <c r="K278" t="n">
        <v>0.4326264244112852</v>
      </c>
      <c r="L278" t="b">
        <v>1</v>
      </c>
      <c r="M278" t="b">
        <v>0</v>
      </c>
      <c r="N278" t="inlineStr">
        <is>
          <t>ref</t>
        </is>
      </c>
      <c r="O278" t="n">
        <v>-35</v>
      </c>
      <c r="P278" t="n">
        <v>0.005005</v>
      </c>
      <c r="Q278" t="n">
        <v>-60</v>
      </c>
      <c r="R278" t="n">
        <v>0.01599</v>
      </c>
      <c r="S278">
        <f>IMAGE("https://mitra.stanford.edu/kundaje/oak/projects/neuro-variants/variant_position/credible/roussos_2024/variant_figures/roussos_2024.infant.GLU/rs1322779_count_position.png",4,220,900)</f>
        <v/>
      </c>
      <c r="T278">
        <f>IMAGE("https://mitra.stanford.edu/kundaje/oak/projects/neuro-variants/variant_position/credible/roussos_2024/variant_figures/roussos_2024.infant.GLU/rs1322779_profile_position.png",4,220,900)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-0.00107385313</v>
      </c>
      <c r="G279" t="n">
        <v>0.8947361895362754</v>
      </c>
      <c r="H279" t="n">
        <v>0.0246589832889916</v>
      </c>
      <c r="I279" t="n">
        <v>0.1051462157228021</v>
      </c>
      <c r="J279" t="n">
        <v>0.0434081439185166</v>
      </c>
      <c r="K279" t="n">
        <v>0.376966535535008</v>
      </c>
      <c r="L279" t="b">
        <v>0</v>
      </c>
      <c r="M279" t="b">
        <v>0</v>
      </c>
      <c r="N279" t="inlineStr">
        <is>
          <t>ref</t>
        </is>
      </c>
      <c r="O279" t="n">
        <v>-90</v>
      </c>
      <c r="P279" t="n">
        <v>0.01903</v>
      </c>
      <c r="Q279" t="n">
        <v>80</v>
      </c>
      <c r="R279" t="n">
        <v>0.02443</v>
      </c>
      <c r="S279">
        <f>IMAGE("https://mitra.stanford.edu/kundaje/oak/projects/neuro-variants/variant_position/credible/roussos_2024/variant_figures/roussos_2024.infant.GLU/rs9425434_count_position.png",4,220,900)</f>
        <v/>
      </c>
      <c r="T279">
        <f>IMAGE("https://mitra.stanford.edu/kundaje/oak/projects/neuro-variants/variant_position/credible/roussos_2024/variant_figures/roussos_2024.infant.GLU/rs9425434_profile_position.png",4,220,900)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0.023502372</v>
      </c>
      <c r="G280" t="n">
        <v>0.3974999291893327</v>
      </c>
      <c r="H280" t="n">
        <v>0.0306133239578672</v>
      </c>
      <c r="I280" t="n">
        <v>0.0541297668119569</v>
      </c>
      <c r="J280" t="n">
        <v>0.0433034237968208</v>
      </c>
      <c r="K280" t="n">
        <v>0.3783637367609943</v>
      </c>
      <c r="L280" t="b">
        <v>0</v>
      </c>
      <c r="M280" t="b">
        <v>0</v>
      </c>
      <c r="N280" t="inlineStr">
        <is>
          <t>alt</t>
        </is>
      </c>
      <c r="O280" t="n">
        <v>-50</v>
      </c>
      <c r="P280" t="n">
        <v>0.0229</v>
      </c>
      <c r="Q280" t="n">
        <v>-100</v>
      </c>
      <c r="R280" t="n">
        <v>0.2067</v>
      </c>
      <c r="S280">
        <f>IMAGE("https://mitra.stanford.edu/kundaje/oak/projects/neuro-variants/variant_position/credible/roussos_2024/variant_figures/roussos_2024.infant.GLU/rs73039035_count_position.png",4,220,900)</f>
        <v/>
      </c>
      <c r="T280">
        <f>IMAGE("https://mitra.stanford.edu/kundaje/oak/projects/neuro-variants/variant_position/credible/roussos_2024/variant_figures/roussos_2024.infant.GLU/rs73039035_profile_position.png",4,220,900)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0.0556468494</v>
      </c>
      <c r="G281" t="n">
        <v>0.1404143678970966</v>
      </c>
      <c r="H281" t="n">
        <v>0.0392570865424857</v>
      </c>
      <c r="I281" t="n">
        <v>0.0217645344359887</v>
      </c>
      <c r="J281" t="n">
        <v>0.044129059282612</v>
      </c>
      <c r="K281" t="n">
        <v>0.3719366054409353</v>
      </c>
      <c r="L281" t="b">
        <v>0</v>
      </c>
      <c r="M281" t="b">
        <v>0</v>
      </c>
      <c r="N281" t="inlineStr">
        <is>
          <t>alt</t>
        </is>
      </c>
      <c r="O281" t="n">
        <v>30</v>
      </c>
      <c r="P281" t="n">
        <v>0.001709</v>
      </c>
      <c r="Q281" t="n">
        <v>5</v>
      </c>
      <c r="R281" t="n">
        <v>0.008059999999999999</v>
      </c>
      <c r="S281">
        <f>IMAGE("https://mitra.stanford.edu/kundaje/oak/projects/neuro-variants/variant_position/credible/roussos_2024/variant_figures/roussos_2024.infant.GLU/rs941989_count_position.png",4,220,900)</f>
        <v/>
      </c>
      <c r="T281">
        <f>IMAGE("https://mitra.stanford.edu/kundaje/oak/projects/neuro-variants/variant_position/credible/roussos_2024/variant_figures/roussos_2024.infant.GLU/rs941989_profile_position.png",4,220,900)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-0.0348641606</v>
      </c>
      <c r="G282" t="n">
        <v>0.2742259326056176</v>
      </c>
      <c r="H282" t="n">
        <v>0.009147606484637199</v>
      </c>
      <c r="I282" t="n">
        <v>0.8000048324452343</v>
      </c>
      <c r="J282" t="n">
        <v>0.0350889569875878</v>
      </c>
      <c r="K282" t="n">
        <v>0.4199468199906806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0.02753</v>
      </c>
      <c r="Q282" t="n">
        <v>-30</v>
      </c>
      <c r="R282" t="n">
        <v>0.02795</v>
      </c>
      <c r="S282">
        <f>IMAGE("https://mitra.stanford.edu/kundaje/oak/projects/neuro-variants/variant_position/credible/roussos_2024/variant_figures/roussos_2024.infant.GLU/rs2227593_count_position.png",4,220,900)</f>
        <v/>
      </c>
      <c r="T282">
        <f>IMAGE("https://mitra.stanford.edu/kundaje/oak/projects/neuro-variants/variant_position/credible/roussos_2024/variant_figures/roussos_2024.infant.GLU/rs2227593_profile_position.png",4,220,900)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-0.0137032303999999</v>
      </c>
      <c r="G283" t="n">
        <v>0.5539360680377993</v>
      </c>
      <c r="H283" t="n">
        <v>0.0354230745680018</v>
      </c>
      <c r="I283" t="n">
        <v>0.0323306039964363</v>
      </c>
      <c r="J283" t="n">
        <v>0.0907383319738089</v>
      </c>
      <c r="K283" t="n">
        <v>0.2288711889761933</v>
      </c>
      <c r="L283" t="b">
        <v>0</v>
      </c>
      <c r="M283" t="b">
        <v>0</v>
      </c>
      <c r="N283" t="inlineStr">
        <is>
          <t>ref</t>
        </is>
      </c>
      <c r="O283" t="n">
        <v>45</v>
      </c>
      <c r="P283" t="n">
        <v>0.02884</v>
      </c>
      <c r="Q283" t="n">
        <v>85</v>
      </c>
      <c r="R283" t="n">
        <v>0.1371</v>
      </c>
      <c r="S283">
        <f>IMAGE("https://mitra.stanford.edu/kundaje/oak/projects/neuro-variants/variant_position/credible/roussos_2024/variant_figures/roussos_2024.infant.GLU/rs1884994_count_position.png",4,220,900)</f>
        <v/>
      </c>
      <c r="T283">
        <f>IMAGE("https://mitra.stanford.edu/kundaje/oak/projects/neuro-variants/variant_position/credible/roussos_2024/variant_figures/roussos_2024.infant.GLU/rs1884994_profile_position.png",4,220,900)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0.0309169116</v>
      </c>
      <c r="G284" t="n">
        <v>0.3039997190759662</v>
      </c>
      <c r="H284" t="n">
        <v>0.0080587415609227</v>
      </c>
      <c r="I284" t="n">
        <v>0.9067192306321166</v>
      </c>
      <c r="J284" t="n">
        <v>0.000827840119932</v>
      </c>
      <c r="K284" t="n">
        <v>0.9071522747060892</v>
      </c>
      <c r="L284" t="b">
        <v>0</v>
      </c>
      <c r="M284" t="b">
        <v>0</v>
      </c>
      <c r="N284" t="inlineStr">
        <is>
          <t>alt</t>
        </is>
      </c>
      <c r="O284" t="n">
        <v>-100</v>
      </c>
      <c r="P284" t="n">
        <v>0.02872</v>
      </c>
      <c r="Q284" t="n">
        <v>100</v>
      </c>
      <c r="R284" t="n">
        <v>0.08405</v>
      </c>
      <c r="S284">
        <f>IMAGE("https://mitra.stanford.edu/kundaje/oak/projects/neuro-variants/variant_position/credible/roussos_2024/variant_figures/roussos_2024.infant.GLU/rs6696163_count_position.png",4,220,900)</f>
        <v/>
      </c>
      <c r="T284">
        <f>IMAGE("https://mitra.stanford.edu/kundaje/oak/projects/neuro-variants/variant_position/credible/roussos_2024/variant_figures/roussos_2024.infant.GLU/rs6696163_profile_position.png",4,220,900)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0.030685295</v>
      </c>
      <c r="G285" t="n">
        <v>0.2715172518210141</v>
      </c>
      <c r="H285" t="n">
        <v>0.009301665360536801</v>
      </c>
      <c r="I285" t="n">
        <v>0.7706896454698919</v>
      </c>
      <c r="J285" t="n">
        <v>0.2417447474591591</v>
      </c>
      <c r="K285" t="n">
        <v>0.08753972096051681</v>
      </c>
      <c r="L285" t="b">
        <v>0</v>
      </c>
      <c r="M285" t="b">
        <v>0</v>
      </c>
      <c r="N285" t="inlineStr">
        <is>
          <t>alt</t>
        </is>
      </c>
      <c r="O285" t="n">
        <v>45</v>
      </c>
      <c r="P285" t="n">
        <v>0.005096</v>
      </c>
      <c r="Q285" t="n">
        <v>65</v>
      </c>
      <c r="R285" t="n">
        <v>0.0393</v>
      </c>
      <c r="S285">
        <f>IMAGE("https://mitra.stanford.edu/kundaje/oak/projects/neuro-variants/variant_position/credible/roussos_2024/variant_figures/roussos_2024.infant.GLU/rs12092774_count_position.png",4,220,900)</f>
        <v/>
      </c>
      <c r="T285">
        <f>IMAGE("https://mitra.stanford.edu/kundaje/oak/projects/neuro-variants/variant_position/credible/roussos_2024/variant_figures/roussos_2024.infant.GLU/rs12092774_profile_position.png",4,220,900)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0.08551272159999999</v>
      </c>
      <c r="G286" t="n">
        <v>0.0798274725976076</v>
      </c>
      <c r="H286" t="n">
        <v>0.0220027719567414</v>
      </c>
      <c r="I286" t="n">
        <v>0.1492219832083595</v>
      </c>
      <c r="J286" t="n">
        <v>0.0619094336294891</v>
      </c>
      <c r="K286" t="n">
        <v>0.3140711400147112</v>
      </c>
      <c r="L286" t="b">
        <v>0</v>
      </c>
      <c r="M286" t="b">
        <v>0</v>
      </c>
      <c r="N286" t="inlineStr">
        <is>
          <t>alt</t>
        </is>
      </c>
      <c r="O286" t="n">
        <v>0</v>
      </c>
      <c r="P286" t="n">
        <v>0</v>
      </c>
      <c r="Q286" t="n">
        <v>-55</v>
      </c>
      <c r="R286" t="n">
        <v>0.1185</v>
      </c>
      <c r="S286">
        <f>IMAGE("https://mitra.stanford.edu/kundaje/oak/projects/neuro-variants/variant_position/credible/roussos_2024/variant_figures/roussos_2024.infant.GLU/rs77574979_count_position.png",4,220,900)</f>
        <v/>
      </c>
      <c r="T286">
        <f>IMAGE("https://mitra.stanford.edu/kundaje/oak/projects/neuro-variants/variant_position/credible/roussos_2024/variant_figures/roussos_2024.infant.GLU/rs77574979_profile_position.png",4,220,900)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0.222843824</v>
      </c>
      <c r="G287" t="n">
        <v>0.0075199410854105</v>
      </c>
      <c r="H287" t="n">
        <v>0.0615623057958597</v>
      </c>
      <c r="I287" t="n">
        <v>0.0027067529286074</v>
      </c>
      <c r="J287" t="n">
        <v>0.08136753455764011</v>
      </c>
      <c r="K287" t="n">
        <v>0.2414497677523154</v>
      </c>
      <c r="L287" t="b">
        <v>1</v>
      </c>
      <c r="M287" t="b">
        <v>1</v>
      </c>
      <c r="N287" t="inlineStr">
        <is>
          <t>alt</t>
        </is>
      </c>
      <c r="O287" t="n">
        <v>-60</v>
      </c>
      <c r="P287" t="n">
        <v>0.02014</v>
      </c>
      <c r="Q287" t="n">
        <v>5</v>
      </c>
      <c r="R287" t="n">
        <v>0.010864</v>
      </c>
      <c r="S287">
        <f>IMAGE("https://mitra.stanford.edu/kundaje/oak/projects/neuro-variants/variant_position/credible/roussos_2024/variant_figures/roussos_2024.infant.GLU/rs61228022_count_position.png",4,220,900)</f>
        <v/>
      </c>
      <c r="T287">
        <f>IMAGE("https://mitra.stanford.edu/kundaje/oak/projects/neuro-variants/variant_position/credible/roussos_2024/variant_figures/roussos_2024.infant.GLU/rs61228022_profile_position.png",4,220,900)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-0.110213308</v>
      </c>
      <c r="G288" t="n">
        <v>0.0436150860196403</v>
      </c>
      <c r="H288" t="n">
        <v>0.0145536863151974</v>
      </c>
      <c r="I288" t="n">
        <v>0.3897796584744117</v>
      </c>
      <c r="J288" t="n">
        <v>0.1215988006790272</v>
      </c>
      <c r="K288" t="n">
        <v>0.1865759445826648</v>
      </c>
      <c r="L288" t="b">
        <v>0</v>
      </c>
      <c r="M288" t="b">
        <v>0</v>
      </c>
      <c r="N288" t="inlineStr">
        <is>
          <t>ref</t>
        </is>
      </c>
      <c r="O288" t="n">
        <v>-55</v>
      </c>
      <c r="P288" t="n">
        <v>0.04614</v>
      </c>
      <c r="Q288" t="n">
        <v>95</v>
      </c>
      <c r="R288" t="n">
        <v>0.2888</v>
      </c>
      <c r="S288">
        <f>IMAGE("https://mitra.stanford.edu/kundaje/oak/projects/neuro-variants/variant_position/credible/roussos_2024/variant_figures/roussos_2024.infant.GLU/rs55988379_count_position.png",4,220,900)</f>
        <v/>
      </c>
      <c r="T288">
        <f>IMAGE("https://mitra.stanford.edu/kundaje/oak/projects/neuro-variants/variant_position/credible/roussos_2024/variant_figures/roussos_2024.infant.GLU/rs55988379_profile_position.png",4,220,900)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0.0725199196</v>
      </c>
      <c r="G289" t="n">
        <v>0.08765406952025399</v>
      </c>
      <c r="H289" t="n">
        <v>0.0385243217267236</v>
      </c>
      <c r="I289" t="n">
        <v>0.0235063722346288</v>
      </c>
      <c r="J289" t="n">
        <v>0.2003847086575982</v>
      </c>
      <c r="K289" t="n">
        <v>0.1145852191884919</v>
      </c>
      <c r="L289" t="b">
        <v>0</v>
      </c>
      <c r="M289" t="b">
        <v>0</v>
      </c>
      <c r="N289" t="inlineStr">
        <is>
          <t>alt</t>
        </is>
      </c>
      <c r="O289" t="n">
        <v>-100</v>
      </c>
      <c r="P289" t="n">
        <v>0.010254</v>
      </c>
      <c r="Q289" t="n">
        <v>30</v>
      </c>
      <c r="R289" t="n">
        <v>0.02832</v>
      </c>
      <c r="S289">
        <f>IMAGE("https://mitra.stanford.edu/kundaje/oak/projects/neuro-variants/variant_position/credible/roussos_2024/variant_figures/roussos_2024.infant.GLU/rs61826842_count_position.png",4,220,900)</f>
        <v/>
      </c>
      <c r="T289">
        <f>IMAGE("https://mitra.stanford.edu/kundaje/oak/projects/neuro-variants/variant_position/credible/roussos_2024/variant_figures/roussos_2024.infant.GLU/rs61826842_profile_position.png",4,220,900)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0.0237570072</v>
      </c>
      <c r="G290" t="n">
        <v>0.382252110042665</v>
      </c>
      <c r="H290" t="n">
        <v>0.0776576398356022</v>
      </c>
      <c r="I290" t="n">
        <v>0.0007920958536926</v>
      </c>
      <c r="J290" t="n">
        <v>0.0003968341453735</v>
      </c>
      <c r="K290" t="n">
        <v>0.9385172252467644</v>
      </c>
      <c r="L290" t="b">
        <v>0</v>
      </c>
      <c r="M290" t="b">
        <v>0</v>
      </c>
      <c r="N290" t="inlineStr">
        <is>
          <t>alt</t>
        </is>
      </c>
      <c r="O290" t="n">
        <v>-100</v>
      </c>
      <c r="P290" t="n">
        <v>0.01355</v>
      </c>
      <c r="Q290" t="n">
        <v>-100</v>
      </c>
      <c r="R290" t="n">
        <v>0.08636000000000001</v>
      </c>
      <c r="S290">
        <f>IMAGE("https://mitra.stanford.edu/kundaje/oak/projects/neuro-variants/variant_position/credible/roussos_2024/variant_figures/roussos_2024.infant.GLU/rs13376011_count_position.png",4,220,900)</f>
        <v/>
      </c>
      <c r="T290">
        <f>IMAGE("https://mitra.stanford.edu/kundaje/oak/projects/neuro-variants/variant_position/credible/roussos_2024/variant_figures/roussos_2024.infant.GLU/rs13376011_profile_position.png",4,220,900)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-0.153101566</v>
      </c>
      <c r="G291" t="n">
        <v>0.0205589428962874</v>
      </c>
      <c r="H291" t="n">
        <v>0.0208546147848779</v>
      </c>
      <c r="I291" t="n">
        <v>0.1682425822167787</v>
      </c>
      <c r="J291" t="n">
        <v>0.0094314248550452</v>
      </c>
      <c r="K291" t="n">
        <v>0.6682045214638307</v>
      </c>
      <c r="L291" t="b">
        <v>0</v>
      </c>
      <c r="M291" t="b">
        <v>0</v>
      </c>
      <c r="N291" t="inlineStr">
        <is>
          <t>ref</t>
        </is>
      </c>
      <c r="O291" t="n">
        <v>-100</v>
      </c>
      <c r="P291" t="n">
        <v>0.02026</v>
      </c>
      <c r="Q291" t="n">
        <v>-15</v>
      </c>
      <c r="R291" t="n">
        <v>0.04492</v>
      </c>
      <c r="S291">
        <f>IMAGE("https://mitra.stanford.edu/kundaje/oak/projects/neuro-variants/variant_position/credible/roussos_2024/variant_figures/roussos_2024.infant.GLU/rs6425273_count_position.png",4,220,900)</f>
        <v/>
      </c>
      <c r="T291">
        <f>IMAGE("https://mitra.stanford.edu/kundaje/oak/projects/neuro-variants/variant_position/credible/roussos_2024/variant_figures/roussos_2024.infant.GLU/rs6425273_profile_position.png",4,220,900)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-0.0605605466</v>
      </c>
      <c r="G292" t="n">
        <v>0.1307381956056768</v>
      </c>
      <c r="H292" t="n">
        <v>0.0161206188428031</v>
      </c>
      <c r="I292" t="n">
        <v>0.3098546472355656</v>
      </c>
      <c r="J292" t="n">
        <v>0.0163771247161533</v>
      </c>
      <c r="K292" t="n">
        <v>0.5758217474545998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0.02582</v>
      </c>
      <c r="Q292" t="n">
        <v>95</v>
      </c>
      <c r="R292" t="n">
        <v>0.07000000000000001</v>
      </c>
      <c r="S292">
        <f>IMAGE("https://mitra.stanford.edu/kundaje/oak/projects/neuro-variants/variant_position/credible/roussos_2024/variant_figures/roussos_2024.infant.GLU/rs11587684_count_position.png",4,220,900)</f>
        <v/>
      </c>
      <c r="T292">
        <f>IMAGE("https://mitra.stanford.edu/kundaje/oak/projects/neuro-variants/variant_position/credible/roussos_2024/variant_figures/roussos_2024.infant.GLU/rs11587684_profile_position.png",4,220,900)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-0.099679253</v>
      </c>
      <c r="G293" t="n">
        <v>0.0640066006524776</v>
      </c>
      <c r="H293" t="n">
        <v>0.0231806409144684</v>
      </c>
      <c r="I293" t="n">
        <v>0.1316204918646825</v>
      </c>
      <c r="J293" t="n">
        <v>0.2235862783571066</v>
      </c>
      <c r="K293" t="n">
        <v>0.09730686388638241</v>
      </c>
      <c r="L293" t="b">
        <v>0</v>
      </c>
      <c r="M293" t="b">
        <v>0</v>
      </c>
      <c r="N293" t="inlineStr">
        <is>
          <t>ref</t>
        </is>
      </c>
      <c r="O293" t="n">
        <v>100</v>
      </c>
      <c r="P293" t="n">
        <v>0.01529</v>
      </c>
      <c r="Q293" t="n">
        <v>100</v>
      </c>
      <c r="R293" t="n">
        <v>0.2546</v>
      </c>
      <c r="S293">
        <f>IMAGE("https://mitra.stanford.edu/kundaje/oak/projects/neuro-variants/variant_position/credible/roussos_2024/variant_figures/roussos_2024.infant.GLU/rs72720790_count_position.png",4,220,900)</f>
        <v/>
      </c>
      <c r="T293">
        <f>IMAGE("https://mitra.stanford.edu/kundaje/oak/projects/neuro-variants/variant_position/credible/roussos_2024/variant_figures/roussos_2024.infant.GLU/rs72720790_profile_position.png",4,220,900)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-0.0060449786359999</v>
      </c>
      <c r="G294" t="n">
        <v>0.5343005507685413</v>
      </c>
      <c r="H294" t="n">
        <v>0.0095034172047373</v>
      </c>
      <c r="I294" t="n">
        <v>0.7610421083289339</v>
      </c>
      <c r="J294" t="n">
        <v>0.0029167309684957</v>
      </c>
      <c r="K294" t="n">
        <v>0.8217526238296942</v>
      </c>
      <c r="L294" t="b">
        <v>0</v>
      </c>
      <c r="M294" t="b">
        <v>0</v>
      </c>
      <c r="N294" t="inlineStr">
        <is>
          <t>ref</t>
        </is>
      </c>
      <c r="O294" t="n">
        <v>-60</v>
      </c>
      <c r="P294" t="n">
        <v>0.003128</v>
      </c>
      <c r="Q294" t="n">
        <v>-55</v>
      </c>
      <c r="R294" t="n">
        <v>0.0769</v>
      </c>
      <c r="S294">
        <f>IMAGE("https://mitra.stanford.edu/kundaje/oak/projects/neuro-variants/variant_position/credible/roussos_2024/variant_figures/roussos_2024.infant.GLU/rs11587000_count_position.png",4,220,900)</f>
        <v/>
      </c>
      <c r="T294">
        <f>IMAGE("https://mitra.stanford.edu/kundaje/oak/projects/neuro-variants/variant_position/credible/roussos_2024/variant_figures/roussos_2024.infant.GLU/rs11587000_profile_position.png",4,220,900)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-0.0775041118</v>
      </c>
      <c r="G295" t="n">
        <v>0.0850338327032216</v>
      </c>
      <c r="H295" t="n">
        <v>0.0136931914168354</v>
      </c>
      <c r="I295" t="n">
        <v>0.435882322922723</v>
      </c>
      <c r="J295" t="n">
        <v>0.2446030556229193</v>
      </c>
      <c r="K295" t="n">
        <v>0.0894576722832261</v>
      </c>
      <c r="L295" t="b">
        <v>0</v>
      </c>
      <c r="M295" t="b">
        <v>0</v>
      </c>
      <c r="N295" t="inlineStr">
        <is>
          <t>ref</t>
        </is>
      </c>
      <c r="O295" t="n">
        <v>65</v>
      </c>
      <c r="P295" t="n">
        <v>0.003677</v>
      </c>
      <c r="Q295" t="n">
        <v>-80</v>
      </c>
      <c r="R295" t="n">
        <v>0.05884</v>
      </c>
      <c r="S295">
        <f>IMAGE("https://mitra.stanford.edu/kundaje/oak/projects/neuro-variants/variant_position/credible/roussos_2024/variant_figures/roussos_2024.infant.GLU/rs1415339_count_position.png",4,220,900)</f>
        <v/>
      </c>
      <c r="T295">
        <f>IMAGE("https://mitra.stanford.edu/kundaje/oak/projects/neuro-variants/variant_position/credible/roussos_2024/variant_figures/roussos_2024.infant.GLU/rs1415339_profile_position.png",4,220,900)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-0.01116191768</v>
      </c>
      <c r="G296" t="n">
        <v>0.5107070632981981</v>
      </c>
      <c r="H296" t="n">
        <v>0.0481947574073106</v>
      </c>
      <c r="I296" t="n">
        <v>0.009239341756353599</v>
      </c>
      <c r="J296" t="n">
        <v>0.0298573601710795</v>
      </c>
      <c r="K296" t="n">
        <v>0.4560135744285237</v>
      </c>
      <c r="L296" t="b">
        <v>1</v>
      </c>
      <c r="M296" t="b">
        <v>0</v>
      </c>
      <c r="N296" t="inlineStr">
        <is>
          <t>ref</t>
        </is>
      </c>
      <c r="O296" t="n">
        <v>65</v>
      </c>
      <c r="P296" t="n">
        <v>0.00525</v>
      </c>
      <c r="Q296" t="n">
        <v>-50</v>
      </c>
      <c r="R296" t="n">
        <v>0.0337</v>
      </c>
      <c r="S296">
        <f>IMAGE("https://mitra.stanford.edu/kundaje/oak/projects/neuro-variants/variant_position/credible/roussos_2024/variant_figures/roussos_2024.infant.GLU/rs34929437_count_position.png",4,220,900)</f>
        <v/>
      </c>
      <c r="T296">
        <f>IMAGE("https://mitra.stanford.edu/kundaje/oak/projects/neuro-variants/variant_position/credible/roussos_2024/variant_figures/roussos_2024.infant.GLU/rs34929437_profile_position.png",4,220,900)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0.0238529421</v>
      </c>
      <c r="G297" t="n">
        <v>0.3842432549697042</v>
      </c>
      <c r="H297" t="n">
        <v>0.009793555561024099</v>
      </c>
      <c r="I297" t="n">
        <v>0.7386153049597026</v>
      </c>
      <c r="J297" t="n">
        <v>0.1582045459555986</v>
      </c>
      <c r="K297" t="n">
        <v>0.1404798480534862</v>
      </c>
      <c r="L297" t="b">
        <v>0</v>
      </c>
      <c r="M297" t="b">
        <v>0</v>
      </c>
      <c r="N297" t="inlineStr">
        <is>
          <t>alt</t>
        </is>
      </c>
      <c r="O297" t="n">
        <v>90</v>
      </c>
      <c r="P297" t="n">
        <v>0.03955</v>
      </c>
      <c r="Q297" t="n">
        <v>100</v>
      </c>
      <c r="R297" t="n">
        <v>0.077</v>
      </c>
      <c r="S297">
        <f>IMAGE("https://mitra.stanford.edu/kundaje/oak/projects/neuro-variants/variant_position/credible/roussos_2024/variant_figures/roussos_2024.infant.GLU/rs12143554_count_position.png",4,220,900)</f>
        <v/>
      </c>
      <c r="T297">
        <f>IMAGE("https://mitra.stanford.edu/kundaje/oak/projects/neuro-variants/variant_position/credible/roussos_2024/variant_figures/roussos_2024.infant.GLU/rs12143554_profile_position.png",4,220,900)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-0.023655269</v>
      </c>
      <c r="G298" t="n">
        <v>0.3971507238731738</v>
      </c>
      <c r="H298" t="n">
        <v>0.0121124098561071</v>
      </c>
      <c r="I298" t="n">
        <v>0.5463683587979876</v>
      </c>
      <c r="J298" t="n">
        <v>0.1577316519323617</v>
      </c>
      <c r="K298" t="n">
        <v>0.1453486290190577</v>
      </c>
      <c r="L298" t="b">
        <v>0</v>
      </c>
      <c r="M298" t="b">
        <v>0</v>
      </c>
      <c r="N298" t="inlineStr">
        <is>
          <t>ref</t>
        </is>
      </c>
      <c r="O298" t="n">
        <v>-80</v>
      </c>
      <c r="P298" t="n">
        <v>0.1451</v>
      </c>
      <c r="Q298" t="n">
        <v>-90</v>
      </c>
      <c r="R298" t="n">
        <v>0.1545</v>
      </c>
      <c r="S298">
        <f>IMAGE("https://mitra.stanford.edu/kundaje/oak/projects/neuro-variants/variant_position/credible/roussos_2024/variant_figures/roussos_2024.infant.GLU/rs12138989_count_position.png",4,220,900)</f>
        <v/>
      </c>
      <c r="T298">
        <f>IMAGE("https://mitra.stanford.edu/kundaje/oak/projects/neuro-variants/variant_position/credible/roussos_2024/variant_figures/roussos_2024.infant.GLU/rs12138989_profile_position.png",4,220,900)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-0.0334750882</v>
      </c>
      <c r="G299" t="n">
        <v>0.2884009240843414</v>
      </c>
      <c r="H299" t="n">
        <v>0.009571711023087799</v>
      </c>
      <c r="I299" t="n">
        <v>0.7705148322380933</v>
      </c>
      <c r="J299" t="n">
        <v>0.1403866928283251</v>
      </c>
      <c r="K299" t="n">
        <v>0.1610288958875525</v>
      </c>
      <c r="L299" t="b">
        <v>0</v>
      </c>
      <c r="M299" t="b">
        <v>0</v>
      </c>
      <c r="N299" t="inlineStr">
        <is>
          <t>ref</t>
        </is>
      </c>
      <c r="O299" t="n">
        <v>-5</v>
      </c>
      <c r="P299" t="n">
        <v>0.000908</v>
      </c>
      <c r="Q299" t="n">
        <v>-100</v>
      </c>
      <c r="R299" t="n">
        <v>0.01917</v>
      </c>
      <c r="S299">
        <f>IMAGE("https://mitra.stanford.edu/kundaje/oak/projects/neuro-variants/variant_position/credible/roussos_2024/variant_figures/roussos_2024.infant.GLU/rs55902020_count_position.png",4,220,900)</f>
        <v/>
      </c>
      <c r="T299">
        <f>IMAGE("https://mitra.stanford.edu/kundaje/oak/projects/neuro-variants/variant_position/credible/roussos_2024/variant_figures/roussos_2024.infant.GLU/rs55902020_profile_position.png",4,220,900)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-0.13185085</v>
      </c>
      <c r="G300" t="n">
        <v>0.0296091492540707</v>
      </c>
      <c r="H300" t="n">
        <v>0.0499317673839696</v>
      </c>
      <c r="I300" t="n">
        <v>0.0077044015472294</v>
      </c>
      <c r="J300" t="n">
        <v>0.0777497299323177</v>
      </c>
      <c r="K300" t="n">
        <v>0.2560258879784982</v>
      </c>
      <c r="L300" t="b">
        <v>1</v>
      </c>
      <c r="M300" t="b">
        <v>1</v>
      </c>
      <c r="N300" t="inlineStr">
        <is>
          <t>ref</t>
        </is>
      </c>
      <c r="O300" t="n">
        <v>35</v>
      </c>
      <c r="P300" t="n">
        <v>0.004074</v>
      </c>
      <c r="Q300" t="n">
        <v>-10</v>
      </c>
      <c r="R300" t="n">
        <v>0.01245</v>
      </c>
      <c r="S300">
        <f>IMAGE("https://mitra.stanford.edu/kundaje/oak/projects/neuro-variants/variant_position/credible/roussos_2024/variant_figures/roussos_2024.infant.GLU/rs10913422_count_position.png",4,220,900)</f>
        <v/>
      </c>
      <c r="T300">
        <f>IMAGE("https://mitra.stanford.edu/kundaje/oak/projects/neuro-variants/variant_position/credible/roussos_2024/variant_figures/roussos_2024.infant.GLU/rs10913422_profile_position.png",4,220,900)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0.0029232355</v>
      </c>
      <c r="G301" t="n">
        <v>0.8684170411885056</v>
      </c>
      <c r="H301" t="n">
        <v>0.0182152911051977</v>
      </c>
      <c r="I301" t="n">
        <v>0.2303353046717577</v>
      </c>
      <c r="J301" t="n">
        <v>0.0310798298022442</v>
      </c>
      <c r="K301" t="n">
        <v>0.4564991165286859</v>
      </c>
      <c r="L301" t="b">
        <v>0</v>
      </c>
      <c r="M301" t="b">
        <v>0</v>
      </c>
      <c r="N301" t="inlineStr">
        <is>
          <t>alt</t>
        </is>
      </c>
      <c r="O301" t="n">
        <v>-100</v>
      </c>
      <c r="P301" t="n">
        <v>0.01073</v>
      </c>
      <c r="Q301" t="n">
        <v>-100</v>
      </c>
      <c r="R301" t="n">
        <v>0.05542</v>
      </c>
      <c r="S301">
        <f>IMAGE("https://mitra.stanford.edu/kundaje/oak/projects/neuro-variants/variant_position/credible/roussos_2024/variant_figures/roussos_2024.infant.GLU/rs12065872_count_position.png",4,220,900)</f>
        <v/>
      </c>
      <c r="T301">
        <f>IMAGE("https://mitra.stanford.edu/kundaje/oak/projects/neuro-variants/variant_position/credible/roussos_2024/variant_figures/roussos_2024.infant.GLU/rs12065872_profile_position.png",4,220,900)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0.067211798</v>
      </c>
      <c r="G302" t="n">
        <v>0.100040389924353</v>
      </c>
      <c r="H302" t="n">
        <v>0.0107621023203183</v>
      </c>
      <c r="I302" t="n">
        <v>0.6681354578267106</v>
      </c>
      <c r="J302" t="n">
        <v>0.1476785202495645</v>
      </c>
      <c r="K302" t="n">
        <v>0.1535006222133977</v>
      </c>
      <c r="L302" t="b">
        <v>0</v>
      </c>
      <c r="M302" t="b">
        <v>0</v>
      </c>
      <c r="N302" t="inlineStr">
        <is>
          <t>alt</t>
        </is>
      </c>
      <c r="O302" t="n">
        <v>-5</v>
      </c>
      <c r="P302" t="n">
        <v>0.0004272</v>
      </c>
      <c r="Q302" t="n">
        <v>0</v>
      </c>
      <c r="R302" t="n">
        <v>0</v>
      </c>
      <c r="S302">
        <f>IMAGE("https://mitra.stanford.edu/kundaje/oak/projects/neuro-variants/variant_position/credible/roussos_2024/variant_figures/roussos_2024.infant.GLU/rs3818433_count_position.png",4,220,900)</f>
        <v/>
      </c>
      <c r="T302">
        <f>IMAGE("https://mitra.stanford.edu/kundaje/oak/projects/neuro-variants/variant_position/credible/roussos_2024/variant_figures/roussos_2024.infant.GLU/rs3818433_profile_position.png",4,220,900)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-0.1731091608</v>
      </c>
      <c r="G303" t="n">
        <v>0.0160171700554035</v>
      </c>
      <c r="H303" t="n">
        <v>0.0200926648293702</v>
      </c>
      <c r="I303" t="n">
        <v>0.1917827503088409</v>
      </c>
      <c r="J303" t="n">
        <v>0.0440364646486915</v>
      </c>
      <c r="K303" t="n">
        <v>0.3664299657463186</v>
      </c>
      <c r="L303" t="b">
        <v>1</v>
      </c>
      <c r="M303" t="b">
        <v>0</v>
      </c>
      <c r="N303" t="inlineStr">
        <is>
          <t>ref</t>
        </is>
      </c>
      <c r="O303" t="n">
        <v>-25</v>
      </c>
      <c r="P303" t="n">
        <v>0.07199999999999999</v>
      </c>
      <c r="Q303" t="n">
        <v>-25</v>
      </c>
      <c r="R303" t="n">
        <v>0.07104000000000001</v>
      </c>
      <c r="S303">
        <f>IMAGE("https://mitra.stanford.edu/kundaje/oak/projects/neuro-variants/variant_position/credible/roussos_2024/variant_figures/roussos_2024.infant.GLU/rs432798_count_position.png",4,220,900)</f>
        <v/>
      </c>
      <c r="T303">
        <f>IMAGE("https://mitra.stanford.edu/kundaje/oak/projects/neuro-variants/variant_position/credible/roussos_2024/variant_figures/roussos_2024.infant.GLU/rs432798_profile_position.png",4,220,900)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-0.0041729640199999</v>
      </c>
      <c r="G304" t="n">
        <v>0.7272823981569754</v>
      </c>
      <c r="H304" t="n">
        <v>0.0274321138518283</v>
      </c>
      <c r="I304" t="n">
        <v>0.07657247651751969</v>
      </c>
      <c r="J304" t="n">
        <v>0.0615015763134107</v>
      </c>
      <c r="K304" t="n">
        <v>0.302616267385578</v>
      </c>
      <c r="L304" t="b">
        <v>0</v>
      </c>
      <c r="M304" t="b">
        <v>0</v>
      </c>
      <c r="N304" t="inlineStr">
        <is>
          <t>ref</t>
        </is>
      </c>
      <c r="O304" t="n">
        <v>100</v>
      </c>
      <c r="P304" t="n">
        <v>0.01576</v>
      </c>
      <c r="Q304" t="n">
        <v>-5</v>
      </c>
      <c r="R304" t="n">
        <v>0.00928</v>
      </c>
      <c r="S304">
        <f>IMAGE("https://mitra.stanford.edu/kundaje/oak/projects/neuro-variants/variant_position/credible/roussos_2024/variant_figures/roussos_2024.infant.GLU/rs3122378_count_position.png",4,220,900)</f>
        <v/>
      </c>
      <c r="T304">
        <f>IMAGE("https://mitra.stanford.edu/kundaje/oak/projects/neuro-variants/variant_position/credible/roussos_2024/variant_figures/roussos_2024.infant.GLU/rs3122378_profile_position.png",4,220,900)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0.01025220514</v>
      </c>
      <c r="G305" t="n">
        <v>0.4348268537525021</v>
      </c>
      <c r="H305" t="n">
        <v>0.028030332521928</v>
      </c>
      <c r="I305" t="n">
        <v>0.0718251922366657</v>
      </c>
      <c r="J305" t="n">
        <v>0.1780418439559954</v>
      </c>
      <c r="K305" t="n">
        <v>0.1257662438393131</v>
      </c>
      <c r="L305" t="b">
        <v>0</v>
      </c>
      <c r="M305" t="b">
        <v>0</v>
      </c>
      <c r="N305" t="inlineStr">
        <is>
          <t>alt</t>
        </is>
      </c>
      <c r="O305" t="n">
        <v>100</v>
      </c>
      <c r="P305" t="n">
        <v>0.03888</v>
      </c>
      <c r="Q305" t="n">
        <v>100</v>
      </c>
      <c r="R305" t="n">
        <v>0.2734</v>
      </c>
      <c r="S305">
        <f>IMAGE("https://mitra.stanford.edu/kundaje/oak/projects/neuro-variants/variant_position/credible/roussos_2024/variant_figures/roussos_2024.infant.GLU/rs12049237_count_position.png",4,220,900)</f>
        <v/>
      </c>
      <c r="T305">
        <f>IMAGE("https://mitra.stanford.edu/kundaje/oak/projects/neuro-variants/variant_position/credible/roussos_2024/variant_figures/roussos_2024.infant.GLU/rs12049237_profile_position.png",4,220,900)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-0.0182796618</v>
      </c>
      <c r="G306" t="n">
        <v>0.473990536322626</v>
      </c>
      <c r="H306" t="n">
        <v>0.0385481355839702</v>
      </c>
      <c r="I306" t="n">
        <v>0.0234278519575857</v>
      </c>
      <c r="J306" t="n">
        <v>0.0120251769218897</v>
      </c>
      <c r="K306" t="n">
        <v>0.6298876079399639</v>
      </c>
      <c r="L306" t="b">
        <v>0</v>
      </c>
      <c r="M306" t="b">
        <v>0</v>
      </c>
      <c r="N306" t="inlineStr">
        <is>
          <t>ref</t>
        </is>
      </c>
      <c r="O306" t="n">
        <v>100</v>
      </c>
      <c r="P306" t="n">
        <v>0.006332</v>
      </c>
      <c r="Q306" t="n">
        <v>-85</v>
      </c>
      <c r="R306" t="n">
        <v>0.07043000000000001</v>
      </c>
      <c r="S306">
        <f>IMAGE("https://mitra.stanford.edu/kundaje/oak/projects/neuro-variants/variant_position/credible/roussos_2024/variant_figures/roussos_2024.infant.GLU/rs78993991_count_position.png",4,220,900)</f>
        <v/>
      </c>
      <c r="T306">
        <f>IMAGE("https://mitra.stanford.edu/kundaje/oak/projects/neuro-variants/variant_position/credible/roussos_2024/variant_figures/roussos_2024.infant.GLU/rs78993991_profile_position.png",4,220,900)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0.0656109428</v>
      </c>
      <c r="G307" t="n">
        <v>0.1057742141938683</v>
      </c>
      <c r="H307" t="n">
        <v>0.0125782081830931</v>
      </c>
      <c r="I307" t="n">
        <v>0.5123021805893323</v>
      </c>
      <c r="J307" t="n">
        <v>0.0119579355805903</v>
      </c>
      <c r="K307" t="n">
        <v>0.6343504003564274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0.5215</v>
      </c>
      <c r="Q307" t="n">
        <v>-100</v>
      </c>
      <c r="R307" t="n">
        <v>0.08749999999999999</v>
      </c>
      <c r="S307">
        <f>IMAGE("https://mitra.stanford.edu/kundaje/oak/projects/neuro-variants/variant_position/credible/roussos_2024/variant_figures/roussos_2024.infant.GLU/rs13306728_count_position.png",4,220,900)</f>
        <v/>
      </c>
      <c r="T307">
        <f>IMAGE("https://mitra.stanford.edu/kundaje/oak/projects/neuro-variants/variant_position/credible/roussos_2024/variant_figures/roussos_2024.infant.GLU/rs13306728_profile_position.png",4,220,900)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-0.0779133544</v>
      </c>
      <c r="G308" t="n">
        <v>0.09404613680601299</v>
      </c>
      <c r="H308" t="n">
        <v>0.0429617293864801</v>
      </c>
      <c r="I308" t="n">
        <v>0.0150190164475673</v>
      </c>
      <c r="J308" t="n">
        <v>0.0448532815979188</v>
      </c>
      <c r="K308" t="n">
        <v>0.3732995804621076</v>
      </c>
      <c r="L308" t="b">
        <v>1</v>
      </c>
      <c r="M308" t="b">
        <v>0</v>
      </c>
      <c r="N308" t="inlineStr">
        <is>
          <t>ref</t>
        </is>
      </c>
      <c r="O308" t="n">
        <v>-15</v>
      </c>
      <c r="P308" t="n">
        <v>0.02661</v>
      </c>
      <c r="Q308" t="n">
        <v>-20</v>
      </c>
      <c r="R308" t="n">
        <v>0.03027</v>
      </c>
      <c r="S308">
        <f>IMAGE("https://mitra.stanford.edu/kundaje/oak/projects/neuro-variants/variant_position/credible/roussos_2024/variant_figures/roussos_2024.infant.GLU/rs12141199_count_position.png",4,220,900)</f>
        <v/>
      </c>
      <c r="T308">
        <f>IMAGE("https://mitra.stanford.edu/kundaje/oak/projects/neuro-variants/variant_position/credible/roussos_2024/variant_figures/roussos_2024.infant.GLU/rs12141199_profile_position.png",4,220,900)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0.08260439479999999</v>
      </c>
      <c r="G309" t="n">
        <v>0.0809481619055971</v>
      </c>
      <c r="H309" t="n">
        <v>0.0183994621310939</v>
      </c>
      <c r="I309" t="n">
        <v>0.2365601255719748</v>
      </c>
      <c r="J309" t="n">
        <v>0.0102537533896249</v>
      </c>
      <c r="K309" t="n">
        <v>0.6850764287175979</v>
      </c>
      <c r="L309" t="b">
        <v>0</v>
      </c>
      <c r="M309" t="b">
        <v>0</v>
      </c>
      <c r="N309" t="inlineStr">
        <is>
          <t>alt</t>
        </is>
      </c>
      <c r="O309" t="n">
        <v>-90</v>
      </c>
      <c r="P309" t="n">
        <v>0.02614</v>
      </c>
      <c r="Q309" t="n">
        <v>40</v>
      </c>
      <c r="R309" t="n">
        <v>0.05185</v>
      </c>
      <c r="S309">
        <f>IMAGE("https://mitra.stanford.edu/kundaje/oak/projects/neuro-variants/variant_position/credible/roussos_2024/variant_figures/roussos_2024.infant.GLU/rs12047160_count_position.png",4,220,900)</f>
        <v/>
      </c>
      <c r="T309">
        <f>IMAGE("https://mitra.stanford.edu/kundaje/oak/projects/neuro-variants/variant_position/credible/roussos_2024/variant_figures/roussos_2024.infant.GLU/rs12047160_profile_position.png",4,220,900)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-0.0195042792</v>
      </c>
      <c r="G310" t="n">
        <v>0.3689855354060427</v>
      </c>
      <c r="H310" t="n">
        <v>0.0847493671848791</v>
      </c>
      <c r="I310" t="n">
        <v>0.0005031184948368</v>
      </c>
      <c r="J310" t="n">
        <v>0.0124826385061398</v>
      </c>
      <c r="K310" t="n">
        <v>0.6227938871034788</v>
      </c>
      <c r="L310" t="b">
        <v>1</v>
      </c>
      <c r="M310" t="b">
        <v>0</v>
      </c>
      <c r="N310" t="inlineStr">
        <is>
          <t>ref</t>
        </is>
      </c>
      <c r="O310" t="n">
        <v>100</v>
      </c>
      <c r="P310" t="n">
        <v>0.02026</v>
      </c>
      <c r="Q310" t="n">
        <v>45</v>
      </c>
      <c r="R310" t="n">
        <v>0.03137</v>
      </c>
      <c r="S310">
        <f>IMAGE("https://mitra.stanford.edu/kundaje/oak/projects/neuro-variants/variant_position/credible/roussos_2024/variant_figures/roussos_2024.infant.GLU/rs12144580_count_position.png",4,220,900)</f>
        <v/>
      </c>
      <c r="T310">
        <f>IMAGE("https://mitra.stanford.edu/kundaje/oak/projects/neuro-variants/variant_position/credible/roussos_2024/variant_figures/roussos_2024.infant.GLU/rs12144580_profile_position.png",4,220,900)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-0.0963596402</v>
      </c>
      <c r="G311" t="n">
        <v>0.0552677860025223</v>
      </c>
      <c r="H311" t="n">
        <v>0.0168467423347572</v>
      </c>
      <c r="I311" t="n">
        <v>0.2794437926999892</v>
      </c>
      <c r="J311" t="n">
        <v>0.6160298948389515</v>
      </c>
      <c r="K311" t="n">
        <v>0.0197130387336939</v>
      </c>
      <c r="L311" t="b">
        <v>0</v>
      </c>
      <c r="M311" t="b">
        <v>0</v>
      </c>
      <c r="N311" t="inlineStr">
        <is>
          <t>ref</t>
        </is>
      </c>
      <c r="O311" t="n">
        <v>65</v>
      </c>
      <c r="P311" t="n">
        <v>0.02113</v>
      </c>
      <c r="Q311" t="n">
        <v>-95</v>
      </c>
      <c r="R311" t="n">
        <v>0.05743</v>
      </c>
      <c r="S311">
        <f>IMAGE("https://mitra.stanford.edu/kundaje/oak/projects/neuro-variants/variant_position/credible/roussos_2024/variant_figures/roussos_2024.infant.GLU/rs6425537_count_position.png",4,220,900)</f>
        <v/>
      </c>
      <c r="T311">
        <f>IMAGE("https://mitra.stanford.edu/kundaje/oak/projects/neuro-variants/variant_position/credible/roussos_2024/variant_figures/roussos_2024.infant.GLU/rs6425537_profile_position.png",4,220,900)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-0.001077540134</v>
      </c>
      <c r="G312" t="n">
        <v>0.88674307334379</v>
      </c>
      <c r="H312" t="n">
        <v>0.0201452975190018</v>
      </c>
      <c r="I312" t="n">
        <v>0.1811763100653719</v>
      </c>
      <c r="J312" t="n">
        <v>0.8584360325403999</v>
      </c>
      <c r="K312" t="n">
        <v>0.0051889291812634</v>
      </c>
      <c r="L312" t="b">
        <v>0</v>
      </c>
      <c r="M312" t="b">
        <v>0</v>
      </c>
      <c r="N312" t="inlineStr">
        <is>
          <t>ref</t>
        </is>
      </c>
      <c r="O312" t="n">
        <v>90</v>
      </c>
      <c r="P312" t="n">
        <v>0.02539</v>
      </c>
      <c r="Q312" t="n">
        <v>95</v>
      </c>
      <c r="R312" t="n">
        <v>0.592</v>
      </c>
      <c r="S312">
        <f>IMAGE("https://mitra.stanford.edu/kundaje/oak/projects/neuro-variants/variant_position/credible/roussos_2024/variant_figures/roussos_2024.infant.GLU/rs56147147_count_position.png",4,220,900)</f>
        <v/>
      </c>
      <c r="T312">
        <f>IMAGE("https://mitra.stanford.edu/kundaje/oak/projects/neuro-variants/variant_position/credible/roussos_2024/variant_figures/roussos_2024.infant.GLU/rs56147147_profile_position.png",4,220,900)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-0.00523287042</v>
      </c>
      <c r="G313" t="n">
        <v>0.6062421433892209</v>
      </c>
      <c r="H313" t="n">
        <v>0.0201681749646174</v>
      </c>
      <c r="I313" t="n">
        <v>0.185457318249107</v>
      </c>
      <c r="J313" t="n">
        <v>0.8964439251306245</v>
      </c>
      <c r="K313" t="n">
        <v>0.0033922823175764</v>
      </c>
      <c r="L313" t="b">
        <v>0</v>
      </c>
      <c r="M313" t="b">
        <v>0</v>
      </c>
      <c r="N313" t="inlineStr">
        <is>
          <t>ref</t>
        </is>
      </c>
      <c r="O313" t="n">
        <v>-40</v>
      </c>
      <c r="P313" t="n">
        <v>0.01807</v>
      </c>
      <c r="Q313" t="n">
        <v>85</v>
      </c>
      <c r="R313" t="n">
        <v>0.2224</v>
      </c>
      <c r="S313">
        <f>IMAGE("https://mitra.stanford.edu/kundaje/oak/projects/neuro-variants/variant_position/credible/roussos_2024/variant_figures/roussos_2024.infant.GLU/rs55986478_count_position.png",4,220,900)</f>
        <v/>
      </c>
      <c r="T313">
        <f>IMAGE("https://mitra.stanford.edu/kundaje/oak/projects/neuro-variants/variant_position/credible/roussos_2024/variant_figures/roussos_2024.infant.GLU/rs55986478_profile_position.png",4,220,900)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-0.01866554808</v>
      </c>
      <c r="G314" t="n">
        <v>0.3530112261001101</v>
      </c>
      <c r="H314" t="n">
        <v>0.0161715138664266</v>
      </c>
      <c r="I314" t="n">
        <v>0.3073759929093636</v>
      </c>
      <c r="J314" t="n">
        <v>0.9250920434753852</v>
      </c>
      <c r="K314" t="n">
        <v>0.0021606863290633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0.00557</v>
      </c>
      <c r="Q314" t="n">
        <v>-80</v>
      </c>
      <c r="R314" t="n">
        <v>0.2832</v>
      </c>
      <c r="S314">
        <f>IMAGE("https://mitra.stanford.edu/kundaje/oak/projects/neuro-variants/variant_position/credible/roussos_2024/variant_figures/roussos_2024.infant.GLU/rs55906130_count_position.png",4,220,900)</f>
        <v/>
      </c>
      <c r="T314">
        <f>IMAGE("https://mitra.stanford.edu/kundaje/oak/projects/neuro-variants/variant_position/credible/roussos_2024/variant_figures/roussos_2024.infant.GLU/rs55906130_profile_position.png",4,220,900)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0.1485792699999999</v>
      </c>
      <c r="G315" t="n">
        <v>0.0220897917651167</v>
      </c>
      <c r="H315" t="n">
        <v>0.0284423313708171</v>
      </c>
      <c r="I315" t="n">
        <v>0.06874404775809299</v>
      </c>
      <c r="J315" t="n">
        <v>0.9372638285676492</v>
      </c>
      <c r="K315" t="n">
        <v>0.0016380116314253</v>
      </c>
      <c r="L315" t="b">
        <v>0</v>
      </c>
      <c r="M315" t="b">
        <v>0</v>
      </c>
      <c r="N315" t="inlineStr">
        <is>
          <t>alt</t>
        </is>
      </c>
      <c r="O315" t="n">
        <v>-70</v>
      </c>
      <c r="P315" t="n">
        <v>0.00451</v>
      </c>
      <c r="Q315" t="n">
        <v>-15</v>
      </c>
      <c r="R315" t="n">
        <v>0.04004</v>
      </c>
      <c r="S315">
        <f>IMAGE("https://mitra.stanford.edu/kundaje/oak/projects/neuro-variants/variant_position/credible/roussos_2024/variant_figures/roussos_2024.infant.GLU/rs11577489_count_position.png",4,220,900)</f>
        <v/>
      </c>
      <c r="T315">
        <f>IMAGE("https://mitra.stanford.edu/kundaje/oak/projects/neuro-variants/variant_position/credible/roussos_2024/variant_figures/roussos_2024.infant.GLU/rs11577489_profile_position.png",4,220,900)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0.04173601586</v>
      </c>
      <c r="G316" t="n">
        <v>0.2420193007705231</v>
      </c>
      <c r="H316" t="n">
        <v>0.0137702647994249</v>
      </c>
      <c r="I316" t="n">
        <v>0.4381519171737221</v>
      </c>
      <c r="J316" t="n">
        <v>0.2541039264534049</v>
      </c>
      <c r="K316" t="n">
        <v>0.08275840462955331</v>
      </c>
      <c r="L316" t="b">
        <v>0</v>
      </c>
      <c r="M316" t="b">
        <v>0</v>
      </c>
      <c r="N316" t="inlineStr">
        <is>
          <t>alt</t>
        </is>
      </c>
      <c r="O316" t="n">
        <v>-100</v>
      </c>
      <c r="P316" t="n">
        <v>0.02055</v>
      </c>
      <c r="Q316" t="n">
        <v>-100</v>
      </c>
      <c r="R316" t="n">
        <v>0.1884</v>
      </c>
      <c r="S316">
        <f>IMAGE("https://mitra.stanford.edu/kundaje/oak/projects/neuro-variants/variant_position/credible/roussos_2024/variant_figures/roussos_2024.infant.GLU/rs12135111_count_position.png",4,220,900)</f>
        <v/>
      </c>
      <c r="T316">
        <f>IMAGE("https://mitra.stanford.edu/kundaje/oak/projects/neuro-variants/variant_position/credible/roussos_2024/variant_figures/roussos_2024.infant.GLU/rs12135111_profile_position.png",4,220,900)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-0.0249081081</v>
      </c>
      <c r="G317" t="n">
        <v>0.3829577255726433</v>
      </c>
      <c r="H317" t="n">
        <v>0.0325310903255075</v>
      </c>
      <c r="I317" t="n">
        <v>0.0440387620886159</v>
      </c>
      <c r="J317" t="n">
        <v>0.0014969465817147</v>
      </c>
      <c r="K317" t="n">
        <v>0.8636819365774524</v>
      </c>
      <c r="L317" t="b">
        <v>0</v>
      </c>
      <c r="M317" t="b">
        <v>0</v>
      </c>
      <c r="N317" t="inlineStr">
        <is>
          <t>ref</t>
        </is>
      </c>
      <c r="O317" t="n">
        <v>85</v>
      </c>
      <c r="P317" t="n">
        <v>0.07480000000000001</v>
      </c>
      <c r="Q317" t="n">
        <v>95</v>
      </c>
      <c r="R317" t="n">
        <v>0.0655</v>
      </c>
      <c r="S317">
        <f>IMAGE("https://mitra.stanford.edu/kundaje/oak/projects/neuro-variants/variant_position/credible/roussos_2024/variant_figures/roussos_2024.infant.GLU/rs6674331_count_position.png",4,220,900)</f>
        <v/>
      </c>
      <c r="T317">
        <f>IMAGE("https://mitra.stanford.edu/kundaje/oak/projects/neuro-variants/variant_position/credible/roussos_2024/variant_figures/roussos_2024.infant.GLU/rs6674331_profile_position.png",4,220,900)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-0.00766728018</v>
      </c>
      <c r="G318" t="n">
        <v>0.6812610262287451</v>
      </c>
      <c r="H318" t="n">
        <v>0.0405053537060732</v>
      </c>
      <c r="I318" t="n">
        <v>0.0201642858518161</v>
      </c>
      <c r="J318" t="n">
        <v>0.1574704027866575</v>
      </c>
      <c r="K318" t="n">
        <v>0.1431175661035774</v>
      </c>
      <c r="L318" t="b">
        <v>0</v>
      </c>
      <c r="M318" t="b">
        <v>0</v>
      </c>
      <c r="N318" t="inlineStr">
        <is>
          <t>ref</t>
        </is>
      </c>
      <c r="O318" t="n">
        <v>35</v>
      </c>
      <c r="P318" t="n">
        <v>0.009520000000000001</v>
      </c>
      <c r="Q318" t="n">
        <v>100</v>
      </c>
      <c r="R318" t="n">
        <v>0.0654</v>
      </c>
      <c r="S318">
        <f>IMAGE("https://mitra.stanford.edu/kundaje/oak/projects/neuro-variants/variant_position/credible/roussos_2024/variant_figures/roussos_2024.infant.GLU/rs202196017_count_position.png",4,220,900)</f>
        <v/>
      </c>
      <c r="T318">
        <f>IMAGE("https://mitra.stanford.edu/kundaje/oak/projects/neuro-variants/variant_position/credible/roussos_2024/variant_figures/roussos_2024.infant.GLU/rs202196017_profile_position.png",4,220,900)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-0.0065504791</v>
      </c>
      <c r="G319" t="n">
        <v>0.4481886518250412</v>
      </c>
      <c r="H319" t="n">
        <v>0.0108959507484588</v>
      </c>
      <c r="I319" t="n">
        <v>0.6511010127010657</v>
      </c>
      <c r="J319" t="n">
        <v>0.0192144888555743</v>
      </c>
      <c r="K319" t="n">
        <v>0.5423247191475371</v>
      </c>
      <c r="L319" t="b">
        <v>0</v>
      </c>
      <c r="M319" t="b">
        <v>0</v>
      </c>
      <c r="N319" t="inlineStr">
        <is>
          <t>ref</t>
        </is>
      </c>
      <c r="O319" t="n">
        <v>-65</v>
      </c>
      <c r="P319" t="n">
        <v>0.1578</v>
      </c>
      <c r="Q319" t="n">
        <v>70</v>
      </c>
      <c r="R319" t="n">
        <v>0.1538</v>
      </c>
      <c r="S319">
        <f>IMAGE("https://mitra.stanford.edu/kundaje/oak/projects/neuro-variants/variant_position/credible/roussos_2024/variant_figures/roussos_2024.infant.GLU/rs12120123_count_position.png",4,220,900)</f>
        <v/>
      </c>
      <c r="T319">
        <f>IMAGE("https://mitra.stanford.edu/kundaje/oak/projects/neuro-variants/variant_position/credible/roussos_2024/variant_figures/roussos_2024.infant.GLU/rs12120123_profile_position.png",4,220,900)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-0.0379892291999999</v>
      </c>
      <c r="G320" t="n">
        <v>0.2662900488995773</v>
      </c>
      <c r="H320" t="n">
        <v>0.012471823422129</v>
      </c>
      <c r="I320" t="n">
        <v>0.5238286272122771</v>
      </c>
      <c r="J320" t="n">
        <v>0.0129213607001917</v>
      </c>
      <c r="K320" t="n">
        <v>0.6208901106747706</v>
      </c>
      <c r="L320" t="b">
        <v>0</v>
      </c>
      <c r="M320" t="b">
        <v>0</v>
      </c>
      <c r="N320" t="inlineStr">
        <is>
          <t>ref</t>
        </is>
      </c>
      <c r="O320" t="n">
        <v>0</v>
      </c>
      <c r="P320" t="n">
        <v>0</v>
      </c>
      <c r="Q320" t="n">
        <v>-15</v>
      </c>
      <c r="R320" t="n">
        <v>0.01932</v>
      </c>
      <c r="S320">
        <f>IMAGE("https://mitra.stanford.edu/kundaje/oak/projects/neuro-variants/variant_position/credible/roussos_2024/variant_figures/roussos_2024.infant.GLU/rs12097041_count_position.png",4,220,900)</f>
        <v/>
      </c>
      <c r="T320">
        <f>IMAGE("https://mitra.stanford.edu/kundaje/oak/projects/neuro-variants/variant_position/credible/roussos_2024/variant_figures/roussos_2024.infant.GLU/rs12097041_profile_position.png",4,220,900)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-0.0059464528</v>
      </c>
      <c r="G321" t="n">
        <v>0.4330184324732086</v>
      </c>
      <c r="H321" t="n">
        <v>0.0146807558495628</v>
      </c>
      <c r="I321" t="n">
        <v>0.3792319154754778</v>
      </c>
      <c r="J321" t="n">
        <v>0.1080017196146299</v>
      </c>
      <c r="K321" t="n">
        <v>0.2046996041981152</v>
      </c>
      <c r="L321" t="b">
        <v>0</v>
      </c>
      <c r="M321" t="b">
        <v>0</v>
      </c>
      <c r="N321" t="inlineStr">
        <is>
          <t>ref</t>
        </is>
      </c>
      <c r="O321" t="n">
        <v>100</v>
      </c>
      <c r="P321" t="n">
        <v>0.03745</v>
      </c>
      <c r="Q321" t="n">
        <v>75</v>
      </c>
      <c r="R321" t="n">
        <v>0.3433</v>
      </c>
      <c r="S321">
        <f>IMAGE("https://mitra.stanford.edu/kundaje/oak/projects/neuro-variants/variant_position/credible/roussos_2024/variant_figures/roussos_2024.infant.GLU/rs12118625_count_position.png",4,220,900)</f>
        <v/>
      </c>
      <c r="T321">
        <f>IMAGE("https://mitra.stanford.edu/kundaje/oak/projects/neuro-variants/variant_position/credible/roussos_2024/variant_figures/roussos_2024.infant.GLU/rs12118625_profile_position.png",4,220,900)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0.02586405324</v>
      </c>
      <c r="G322" t="n">
        <v>0.3598950851438376</v>
      </c>
      <c r="H322" t="n">
        <v>0.0120750367187964</v>
      </c>
      <c r="I322" t="n">
        <v>0.5485842406239687</v>
      </c>
      <c r="J322" t="n">
        <v>0.3140347009413788</v>
      </c>
      <c r="K322" t="n">
        <v>0.0631711745891787</v>
      </c>
      <c r="L322" t="b">
        <v>0</v>
      </c>
      <c r="M322" t="b">
        <v>0</v>
      </c>
      <c r="N322" t="inlineStr">
        <is>
          <t>alt</t>
        </is>
      </c>
      <c r="O322" t="n">
        <v>-85</v>
      </c>
      <c r="P322" t="n">
        <v>0.005463</v>
      </c>
      <c r="Q322" t="n">
        <v>-45</v>
      </c>
      <c r="R322" t="n">
        <v>0.02414</v>
      </c>
      <c r="S322">
        <f>IMAGE("https://mitra.stanford.edu/kundaje/oak/projects/neuro-variants/variant_position/credible/roussos_2024/variant_figures/roussos_2024.infant.GLU/rs10913758_count_position.png",4,220,900)</f>
        <v/>
      </c>
      <c r="T322">
        <f>IMAGE("https://mitra.stanford.edu/kundaje/oak/projects/neuro-variants/variant_position/credible/roussos_2024/variant_figures/roussos_2024.infant.GLU/rs10913758_profile_position.png",4,220,900)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-0.0751249408</v>
      </c>
      <c r="G323" t="n">
        <v>0.09558232302675911</v>
      </c>
      <c r="H323" t="n">
        <v>0.0138180269479474</v>
      </c>
      <c r="I323" t="n">
        <v>0.4288266149511943</v>
      </c>
      <c r="J323" t="n">
        <v>0.0075111885182653</v>
      </c>
      <c r="K323" t="n">
        <v>0.7169768768648974</v>
      </c>
      <c r="L323" t="b">
        <v>0</v>
      </c>
      <c r="M323" t="b">
        <v>0</v>
      </c>
      <c r="N323" t="inlineStr">
        <is>
          <t>ref</t>
        </is>
      </c>
      <c r="O323" t="n">
        <v>65</v>
      </c>
      <c r="P323" t="n">
        <v>0.003677</v>
      </c>
      <c r="Q323" t="n">
        <v>65</v>
      </c>
      <c r="R323" t="n">
        <v>0.009155</v>
      </c>
      <c r="S323">
        <f>IMAGE("https://mitra.stanford.edu/kundaje/oak/projects/neuro-variants/variant_position/credible/roussos_2024/variant_figures/roussos_2024.infant.GLU/rs36144856_count_position.png",4,220,900)</f>
        <v/>
      </c>
      <c r="T323">
        <f>IMAGE("https://mitra.stanford.edu/kundaje/oak/projects/neuro-variants/variant_position/credible/roussos_2024/variant_figures/roussos_2024.infant.GLU/rs36144856_profile_position.png",4,220,900)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-0.0026691016</v>
      </c>
      <c r="G324" t="n">
        <v>0.7023274711937162</v>
      </c>
      <c r="H324" t="n">
        <v>0.028158673071165</v>
      </c>
      <c r="I324" t="n">
        <v>0.070548564061301</v>
      </c>
      <c r="J324" t="n">
        <v>0.0573248969333538</v>
      </c>
      <c r="K324" t="n">
        <v>0.3159602320898028</v>
      </c>
      <c r="L324" t="b">
        <v>0</v>
      </c>
      <c r="M324" t="b">
        <v>0</v>
      </c>
      <c r="N324" t="inlineStr">
        <is>
          <t>ref</t>
        </is>
      </c>
      <c r="O324" t="n">
        <v>-55</v>
      </c>
      <c r="P324" t="n">
        <v>0.01749</v>
      </c>
      <c r="Q324" t="n">
        <v>-100</v>
      </c>
      <c r="R324" t="n">
        <v>0.0392</v>
      </c>
      <c r="S324">
        <f>IMAGE("https://mitra.stanford.edu/kundaje/oak/projects/neuro-variants/variant_position/credible/roussos_2024/variant_figures/roussos_2024.infant.GLU/rs12131475_count_position.png",4,220,900)</f>
        <v/>
      </c>
      <c r="T324">
        <f>IMAGE("https://mitra.stanford.edu/kundaje/oak/projects/neuro-variants/variant_position/credible/roussos_2024/variant_figures/roussos_2024.infant.GLU/rs12131475_profile_position.png",4,220,900)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0.048965438</v>
      </c>
      <c r="G325" t="n">
        <v>0.1854255668835049</v>
      </c>
      <c r="H325" t="n">
        <v>0.0185330523639499</v>
      </c>
      <c r="I325" t="n">
        <v>0.2234064332159391</v>
      </c>
      <c r="J325" t="n">
        <v>0.0437366344055203</v>
      </c>
      <c r="K325" t="n">
        <v>0.3813414577737299</v>
      </c>
      <c r="L325" t="b">
        <v>0</v>
      </c>
      <c r="M325" t="b">
        <v>0</v>
      </c>
      <c r="N325" t="inlineStr">
        <is>
          <t>alt</t>
        </is>
      </c>
      <c r="O325" t="n">
        <v>95</v>
      </c>
      <c r="P325" t="n">
        <v>0.014656</v>
      </c>
      <c r="Q325" t="n">
        <v>95</v>
      </c>
      <c r="R325" t="n">
        <v>0.2812</v>
      </c>
      <c r="S325">
        <f>IMAGE("https://mitra.stanford.edu/kundaje/oak/projects/neuro-variants/variant_position/credible/roussos_2024/variant_figures/roussos_2024.infant.GLU/rs1928006_count_position.png",4,220,900)</f>
        <v/>
      </c>
      <c r="T325">
        <f>IMAGE("https://mitra.stanford.edu/kundaje/oak/projects/neuro-variants/variant_position/credible/roussos_2024/variant_figures/roussos_2024.infant.GLU/rs1928006_profile_position.png",4,220,900)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0.0139170861999999</v>
      </c>
      <c r="G326" t="n">
        <v>0.5228960712574086</v>
      </c>
      <c r="H326" t="n">
        <v>0.0102646458162956</v>
      </c>
      <c r="I326" t="n">
        <v>0.7172150299691733</v>
      </c>
      <c r="J326" t="n">
        <v>0.0017670142639828</v>
      </c>
      <c r="K326" t="n">
        <v>0.8735250778066839</v>
      </c>
      <c r="L326" t="b">
        <v>0</v>
      </c>
      <c r="M326" t="b">
        <v>0</v>
      </c>
      <c r="N326" t="inlineStr">
        <is>
          <t>alt</t>
        </is>
      </c>
      <c r="O326" t="n">
        <v>-75</v>
      </c>
      <c r="P326" t="n">
        <v>0.0658</v>
      </c>
      <c r="Q326" t="n">
        <v>-100</v>
      </c>
      <c r="R326" t="n">
        <v>0.1106</v>
      </c>
      <c r="S326">
        <f>IMAGE("https://mitra.stanford.edu/kundaje/oak/projects/neuro-variants/variant_position/credible/roussos_2024/variant_figures/roussos_2024.infant.GLU/rs36100834_count_position.png",4,220,900)</f>
        <v/>
      </c>
      <c r="T326">
        <f>IMAGE("https://mitra.stanford.edu/kundaje/oak/projects/neuro-variants/variant_position/credible/roussos_2024/variant_figures/roussos_2024.infant.GLU/rs36100834_profile_position.png",4,220,900)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-0.1092822816</v>
      </c>
      <c r="G327" t="n">
        <v>0.0443131860682342</v>
      </c>
      <c r="H327" t="n">
        <v>0.03715963790494</v>
      </c>
      <c r="I327" t="n">
        <v>0.027510419165638</v>
      </c>
      <c r="J327" t="n">
        <v>0.009960537048876599</v>
      </c>
      <c r="K327" t="n">
        <v>0.6815789577884905</v>
      </c>
      <c r="L327" t="b">
        <v>0</v>
      </c>
      <c r="M327" t="b">
        <v>0</v>
      </c>
      <c r="N327" t="inlineStr">
        <is>
          <t>ref</t>
        </is>
      </c>
      <c r="O327" t="n">
        <v>-100</v>
      </c>
      <c r="P327" t="n">
        <v>0.004993</v>
      </c>
      <c r="Q327" t="n">
        <v>65</v>
      </c>
      <c r="R327" t="n">
        <v>0.04916</v>
      </c>
      <c r="S327">
        <f>IMAGE("https://mitra.stanford.edu/kundaje/oak/projects/neuro-variants/variant_position/credible/roussos_2024/variant_figures/roussos_2024.infant.GLU/rs61826032_count_position.png",4,220,900)</f>
        <v/>
      </c>
      <c r="T327">
        <f>IMAGE("https://mitra.stanford.edu/kundaje/oak/projects/neuro-variants/variant_position/credible/roussos_2024/variant_figures/roussos_2024.infant.GLU/rs61826032_profile_position.png",4,220,900)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0.098156674</v>
      </c>
      <c r="G328" t="n">
        <v>0.0542023866037433</v>
      </c>
      <c r="H328" t="n">
        <v>0.0349140055815722</v>
      </c>
      <c r="I328" t="n">
        <v>0.0343127522292418</v>
      </c>
      <c r="J328" t="n">
        <v>0.0030368835291783</v>
      </c>
      <c r="K328" t="n">
        <v>0.8359893213983176</v>
      </c>
      <c r="L328" t="b">
        <v>0</v>
      </c>
      <c r="M328" t="b">
        <v>0</v>
      </c>
      <c r="N328" t="inlineStr">
        <is>
          <t>alt</t>
        </is>
      </c>
      <c r="O328" t="n">
        <v>-50</v>
      </c>
      <c r="P328" t="n">
        <v>0.002502</v>
      </c>
      <c r="Q328" t="n">
        <v>80</v>
      </c>
      <c r="R328" t="n">
        <v>0.0348</v>
      </c>
      <c r="S328">
        <f>IMAGE("https://mitra.stanford.edu/kundaje/oak/projects/neuro-variants/variant_position/credible/roussos_2024/variant_figures/roussos_2024.infant.GLU/rs35954891_count_position.png",4,220,900)</f>
        <v/>
      </c>
      <c r="T328">
        <f>IMAGE("https://mitra.stanford.edu/kundaje/oak/projects/neuro-variants/variant_position/credible/roussos_2024/variant_figures/roussos_2024.infant.GLU/rs35954891_profile_position.png",4,220,900)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0.00585293458</v>
      </c>
      <c r="G329" t="n">
        <v>0.7004110302938845</v>
      </c>
      <c r="H329" t="n">
        <v>0.0351951019299734</v>
      </c>
      <c r="I329" t="n">
        <v>0.033057703527406</v>
      </c>
      <c r="J329" t="n">
        <v>0.208178090345907</v>
      </c>
      <c r="K329" t="n">
        <v>0.1032848675944217</v>
      </c>
      <c r="L329" t="b">
        <v>0</v>
      </c>
      <c r="M329" t="b">
        <v>0</v>
      </c>
      <c r="N329" t="inlineStr">
        <is>
          <t>alt</t>
        </is>
      </c>
      <c r="O329" t="n">
        <v>60</v>
      </c>
      <c r="P329" t="n">
        <v>0.00464</v>
      </c>
      <c r="Q329" t="n">
        <v>85</v>
      </c>
      <c r="R329" t="n">
        <v>0.10095</v>
      </c>
      <c r="S329">
        <f>IMAGE("https://mitra.stanford.edu/kundaje/oak/projects/neuro-variants/variant_position/credible/roussos_2024/variant_figures/roussos_2024.infant.GLU/rs10913808_count_position.png",4,220,900)</f>
        <v/>
      </c>
      <c r="T329">
        <f>IMAGE("https://mitra.stanford.edu/kundaje/oak/projects/neuro-variants/variant_position/credible/roussos_2024/variant_figures/roussos_2024.infant.GLU/rs10913808_profile_position.png",4,220,900)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-0.1703315839999999</v>
      </c>
      <c r="G330" t="n">
        <v>0.0167718198846228</v>
      </c>
      <c r="H330" t="n">
        <v>0.0261178169150059</v>
      </c>
      <c r="I330" t="n">
        <v>0.0924165610787118</v>
      </c>
      <c r="J330" t="n">
        <v>0.0733768381137149</v>
      </c>
      <c r="K330" t="n">
        <v>0.2616413391516847</v>
      </c>
      <c r="L330" t="b">
        <v>1</v>
      </c>
      <c r="M330" t="b">
        <v>0</v>
      </c>
      <c r="N330" t="inlineStr">
        <is>
          <t>ref</t>
        </is>
      </c>
      <c r="O330" t="n">
        <v>-60</v>
      </c>
      <c r="P330" t="n">
        <v>0.00519</v>
      </c>
      <c r="Q330" t="n">
        <v>40</v>
      </c>
      <c r="R330" t="n">
        <v>0.158</v>
      </c>
      <c r="S330">
        <f>IMAGE("https://mitra.stanford.edu/kundaje/oak/projects/neuro-variants/variant_position/credible/roussos_2024/variant_figures/roussos_2024.infant.GLU/rs12135209_count_position.png",4,220,900)</f>
        <v/>
      </c>
      <c r="T330">
        <f>IMAGE("https://mitra.stanford.edu/kundaje/oak/projects/neuro-variants/variant_position/credible/roussos_2024/variant_figures/roussos_2024.infant.GLU/rs12135209_profile_position.png",4,220,900)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-0.003046712622</v>
      </c>
      <c r="G331" t="n">
        <v>0.7867463093093978</v>
      </c>
      <c r="H331" t="n">
        <v>0.0097700133933775</v>
      </c>
      <c r="I331" t="n">
        <v>0.762062609792406</v>
      </c>
      <c r="J331" t="n">
        <v>0.06182014594678</v>
      </c>
      <c r="K331" t="n">
        <v>0.3022792443847157</v>
      </c>
      <c r="L331" t="b">
        <v>0</v>
      </c>
      <c r="M331" t="b">
        <v>0</v>
      </c>
      <c r="N331" t="inlineStr">
        <is>
          <t>ref</t>
        </is>
      </c>
      <c r="O331" t="n">
        <v>65</v>
      </c>
      <c r="P331" t="n">
        <v>0.003693</v>
      </c>
      <c r="Q331" t="n">
        <v>95</v>
      </c>
      <c r="R331" t="n">
        <v>0.08844</v>
      </c>
      <c r="S331">
        <f>IMAGE("https://mitra.stanford.edu/kundaje/oak/projects/neuro-variants/variant_position/credible/roussos_2024/variant_figures/roussos_2024.infant.GLU/rs296534_count_position.png",4,220,900)</f>
        <v/>
      </c>
      <c r="T331">
        <f>IMAGE("https://mitra.stanford.edu/kundaje/oak/projects/neuro-variants/variant_position/credible/roussos_2024/variant_figures/roussos_2024.infant.GLU/rs296534_profile_position.png",4,220,900)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0.0037574901199999</v>
      </c>
      <c r="G332" t="n">
        <v>0.7244796919910576</v>
      </c>
      <c r="H332" t="n">
        <v>0.0078932325898378</v>
      </c>
      <c r="I332" t="n">
        <v>0.90941045397913</v>
      </c>
      <c r="J332" t="n">
        <v>0.0272900637139266</v>
      </c>
      <c r="K332" t="n">
        <v>0.4705143608570181</v>
      </c>
      <c r="L332" t="b">
        <v>0</v>
      </c>
      <c r="M332" t="b">
        <v>0</v>
      </c>
      <c r="N332" t="inlineStr">
        <is>
          <t>alt</t>
        </is>
      </c>
      <c r="O332" t="n">
        <v>-100</v>
      </c>
      <c r="P332" t="n">
        <v>0.07715</v>
      </c>
      <c r="Q332" t="n">
        <v>-100</v>
      </c>
      <c r="R332" t="n">
        <v>0.2249</v>
      </c>
      <c r="S332">
        <f>IMAGE("https://mitra.stanford.edu/kundaje/oak/projects/neuro-variants/variant_position/credible/roussos_2024/variant_figures/roussos_2024.infant.GLU/rs11579874_count_position.png",4,220,900)</f>
        <v/>
      </c>
      <c r="T332">
        <f>IMAGE("https://mitra.stanford.edu/kundaje/oak/projects/neuro-variants/variant_position/credible/roussos_2024/variant_figures/roussos_2024.infant.GLU/rs11579874_profile_position.png",4,220,900)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0.0679130471999999</v>
      </c>
      <c r="G333" t="n">
        <v>0.1013584110508175</v>
      </c>
      <c r="H333" t="n">
        <v>0.0252625342489836</v>
      </c>
      <c r="I333" t="n">
        <v>0.09917179772714969</v>
      </c>
      <c r="J333" t="n">
        <v>0.0272007760312175</v>
      </c>
      <c r="K333" t="n">
        <v>0.4777258140741768</v>
      </c>
      <c r="L333" t="b">
        <v>0</v>
      </c>
      <c r="M333" t="b">
        <v>0</v>
      </c>
      <c r="N333" t="inlineStr">
        <is>
          <t>alt</t>
        </is>
      </c>
      <c r="O333" t="n">
        <v>-20</v>
      </c>
      <c r="P333" t="n">
        <v>0.001135</v>
      </c>
      <c r="Q333" t="n">
        <v>80</v>
      </c>
      <c r="R333" t="n">
        <v>0.01184</v>
      </c>
      <c r="S333">
        <f>IMAGE("https://mitra.stanford.edu/kundaje/oak/projects/neuro-variants/variant_position/credible/roussos_2024/variant_figures/roussos_2024.infant.GLU/rs4915471_count_position.png",4,220,900)</f>
        <v/>
      </c>
      <c r="T333">
        <f>IMAGE("https://mitra.stanford.edu/kundaje/oak/projects/neuro-variants/variant_position/credible/roussos_2024/variant_figures/roussos_2024.infant.GLU/rs4915471_profile_position.png",4,220,900)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0.0313787331999999</v>
      </c>
      <c r="G334" t="n">
        <v>0.3035009000624729</v>
      </c>
      <c r="H334" t="n">
        <v>0.009836282935943999</v>
      </c>
      <c r="I334" t="n">
        <v>0.7505491856276345</v>
      </c>
      <c r="J334" t="n">
        <v>0.4921614233118013</v>
      </c>
      <c r="K334" t="n">
        <v>0.0318441710160879</v>
      </c>
      <c r="L334" t="b">
        <v>0</v>
      </c>
      <c r="M334" t="b">
        <v>0</v>
      </c>
      <c r="N334" t="inlineStr">
        <is>
          <t>alt</t>
        </is>
      </c>
      <c r="O334" t="n">
        <v>95</v>
      </c>
      <c r="P334" t="n">
        <v>0.213</v>
      </c>
      <c r="Q334" t="n">
        <v>100</v>
      </c>
      <c r="R334" t="n">
        <v>0.357</v>
      </c>
      <c r="S334">
        <f>IMAGE("https://mitra.stanford.edu/kundaje/oak/projects/neuro-variants/variant_position/credible/roussos_2024/variant_figures/roussos_2024.infant.GLU/rs148277892_count_position.png",4,220,900)</f>
        <v/>
      </c>
      <c r="T334">
        <f>IMAGE("https://mitra.stanford.edu/kundaje/oak/projects/neuro-variants/variant_position/credible/roussos_2024/variant_figures/roussos_2024.infant.GLU/rs148277892_profile_position.png",4,220,900)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0.0287448623999999</v>
      </c>
      <c r="G335" t="n">
        <v>0.3226058011376291</v>
      </c>
      <c r="H335" t="n">
        <v>0.0100994222166115</v>
      </c>
      <c r="I335" t="n">
        <v>0.7303679322351547</v>
      </c>
      <c r="J335" t="n">
        <v>0.0751262153045701</v>
      </c>
      <c r="K335" t="n">
        <v>0.2717010520471838</v>
      </c>
      <c r="L335" t="b">
        <v>0</v>
      </c>
      <c r="M335" t="b">
        <v>0</v>
      </c>
      <c r="N335" t="inlineStr">
        <is>
          <t>alt</t>
        </is>
      </c>
      <c r="O335" t="n">
        <v>60</v>
      </c>
      <c r="P335" t="n">
        <v>0.00508</v>
      </c>
      <c r="Q335" t="n">
        <v>5</v>
      </c>
      <c r="R335" t="n">
        <v>0.0083</v>
      </c>
      <c r="S335">
        <f>IMAGE("https://mitra.stanford.edu/kundaje/oak/projects/neuro-variants/variant_position/credible/roussos_2024/variant_figures/roussos_2024.infant.GLU/rs296563_count_position.png",4,220,900)</f>
        <v/>
      </c>
      <c r="T335">
        <f>IMAGE("https://mitra.stanford.edu/kundaje/oak/projects/neuro-variants/variant_position/credible/roussos_2024/variant_figures/roussos_2024.infant.GLU/rs296563_profile_position.png",4,220,900)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-0.0317651032</v>
      </c>
      <c r="G336" t="n">
        <v>0.3034290858418545</v>
      </c>
      <c r="H336" t="n">
        <v>0.0105210498945877</v>
      </c>
      <c r="I336" t="n">
        <v>0.6701802169479822</v>
      </c>
      <c r="J336" t="n">
        <v>0.0699398134879516</v>
      </c>
      <c r="K336" t="n">
        <v>0.2912496850825108</v>
      </c>
      <c r="L336" t="b">
        <v>0</v>
      </c>
      <c r="M336" t="b">
        <v>0</v>
      </c>
      <c r="N336" t="inlineStr">
        <is>
          <t>ref</t>
        </is>
      </c>
      <c r="O336" t="n">
        <v>70</v>
      </c>
      <c r="P336" t="n">
        <v>0.006844</v>
      </c>
      <c r="Q336" t="n">
        <v>-75</v>
      </c>
      <c r="R336" t="n">
        <v>0.0878</v>
      </c>
      <c r="S336">
        <f>IMAGE("https://mitra.stanford.edu/kundaje/oak/projects/neuro-variants/variant_position/credible/roussos_2024/variant_figures/roussos_2024.infant.GLU/rs2297909_count_position.png",4,220,900)</f>
        <v/>
      </c>
      <c r="T336">
        <f>IMAGE("https://mitra.stanford.edu/kundaje/oak/projects/neuro-variants/variant_position/credible/roussos_2024/variant_figures/roussos_2024.infant.GLU/rs2297909_profile_position.png",4,220,900)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0.0083585545</v>
      </c>
      <c r="G337" t="n">
        <v>0.5139268290657906</v>
      </c>
      <c r="H337" t="n">
        <v>0.0168672288656822</v>
      </c>
      <c r="I337" t="n">
        <v>0.2754106505007411</v>
      </c>
      <c r="J337" t="n">
        <v>0.0104455565598888</v>
      </c>
      <c r="K337" t="n">
        <v>0.6521431982002091</v>
      </c>
      <c r="L337" t="b">
        <v>0</v>
      </c>
      <c r="M337" t="b">
        <v>0</v>
      </c>
      <c r="N337" t="inlineStr">
        <is>
          <t>alt</t>
        </is>
      </c>
      <c r="O337" t="n">
        <v>100</v>
      </c>
      <c r="P337" t="n">
        <v>0.01767</v>
      </c>
      <c r="Q337" t="n">
        <v>-80</v>
      </c>
      <c r="R337" t="n">
        <v>0.1886</v>
      </c>
      <c r="S337">
        <f>IMAGE("https://mitra.stanford.edu/kundaje/oak/projects/neuro-variants/variant_position/credible/roussos_2024/variant_figures/roussos_2024.infant.GLU/rs59682551_count_position.png",4,220,900)</f>
        <v/>
      </c>
      <c r="T337">
        <f>IMAGE("https://mitra.stanford.edu/kundaje/oak/projects/neuro-variants/variant_position/credible/roussos_2024/variant_figures/roussos_2024.infant.GLU/rs59682551_profile_position.png",4,220,900)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-0.0585720904</v>
      </c>
      <c r="G338" t="n">
        <v>0.1295548192088045</v>
      </c>
      <c r="H338" t="n">
        <v>0.0119702450738429</v>
      </c>
      <c r="I338" t="n">
        <v>0.5586461002807339</v>
      </c>
      <c r="J338" t="n">
        <v>0.004721224012875</v>
      </c>
      <c r="K338" t="n">
        <v>0.7617655295343222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0.02502</v>
      </c>
      <c r="Q338" t="n">
        <v>-25</v>
      </c>
      <c r="R338" t="n">
        <v>0.06759999999999999</v>
      </c>
      <c r="S338">
        <f>IMAGE("https://mitra.stanford.edu/kundaje/oak/projects/neuro-variants/variant_position/credible/roussos_2024/variant_figures/roussos_2024.infant.GLU/rs12140420_count_position.png",4,220,900)</f>
        <v/>
      </c>
      <c r="T338">
        <f>IMAGE("https://mitra.stanford.edu/kundaje/oak/projects/neuro-variants/variant_position/credible/roussos_2024/variant_figures/roussos_2024.infant.GLU/rs12140420_profile_position.png",4,220,900)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0.26518406</v>
      </c>
      <c r="G339" t="n">
        <v>0.0047491756226406</v>
      </c>
      <c r="H339" t="n">
        <v>0.0422531356782402</v>
      </c>
      <c r="I339" t="n">
        <v>0.0162999144684903</v>
      </c>
      <c r="J339" t="n">
        <v>0.0225225423840913</v>
      </c>
      <c r="K339" t="n">
        <v>0.5169168347280367</v>
      </c>
      <c r="L339" t="b">
        <v>1</v>
      </c>
      <c r="M339" t="b">
        <v>1</v>
      </c>
      <c r="N339" t="inlineStr">
        <is>
          <t>alt</t>
        </is>
      </c>
      <c r="O339" t="n">
        <v>10</v>
      </c>
      <c r="P339" t="n">
        <v>0.0001221</v>
      </c>
      <c r="Q339" t="n">
        <v>20</v>
      </c>
      <c r="R339" t="n">
        <v>0.02087</v>
      </c>
      <c r="S339">
        <f>IMAGE("https://mitra.stanford.edu/kundaje/oak/projects/neuro-variants/variant_position/credible/roussos_2024/variant_figures/roussos_2024.infant.GLU/rs10920084_count_position.png",4,220,900)</f>
        <v/>
      </c>
      <c r="T339">
        <f>IMAGE("https://mitra.stanford.edu/kundaje/oak/projects/neuro-variants/variant_position/credible/roussos_2024/variant_figures/roussos_2024.infant.GLU/rs10920084_profile_position.png",4,220,900)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0.00599684436</v>
      </c>
      <c r="G340" t="n">
        <v>0.6134542191978368</v>
      </c>
      <c r="H340" t="n">
        <v>0.0101577549612033</v>
      </c>
      <c r="I340" t="n">
        <v>0.7212915043328543</v>
      </c>
      <c r="J340" t="n">
        <v>0.0339601843074141</v>
      </c>
      <c r="K340" t="n">
        <v>0.4234026558813594</v>
      </c>
      <c r="L340" t="b">
        <v>0</v>
      </c>
      <c r="M340" t="b">
        <v>0</v>
      </c>
      <c r="N340" t="inlineStr">
        <is>
          <t>alt</t>
        </is>
      </c>
      <c r="O340" t="n">
        <v>25</v>
      </c>
      <c r="P340" t="n">
        <v>0.00992</v>
      </c>
      <c r="Q340" t="n">
        <v>-75</v>
      </c>
      <c r="R340" t="n">
        <v>0.0362</v>
      </c>
      <c r="S340">
        <f>IMAGE("https://mitra.stanford.edu/kundaje/oak/projects/neuro-variants/variant_position/credible/roussos_2024/variant_figures/roussos_2024.infant.GLU/rs55757739_count_position.png",4,220,900)</f>
        <v/>
      </c>
      <c r="T340">
        <f>IMAGE("https://mitra.stanford.edu/kundaje/oak/projects/neuro-variants/variant_position/credible/roussos_2024/variant_figures/roussos_2024.infant.GLU/rs55757739_profile_position.png",4,220,900)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-0.1626227579999999</v>
      </c>
      <c r="G341" t="n">
        <v>0.0177695797083798</v>
      </c>
      <c r="H341" t="n">
        <v>0.0319180267621624</v>
      </c>
      <c r="I341" t="n">
        <v>0.0479108509976311</v>
      </c>
      <c r="J341" t="n">
        <v>0.0312297449238298</v>
      </c>
      <c r="K341" t="n">
        <v>0.4424616332813564</v>
      </c>
      <c r="L341" t="b">
        <v>1</v>
      </c>
      <c r="M341" t="b">
        <v>0</v>
      </c>
      <c r="N341" t="inlineStr">
        <is>
          <t>ref</t>
        </is>
      </c>
      <c r="O341" t="n">
        <v>-15</v>
      </c>
      <c r="P341" t="n">
        <v>0.001307</v>
      </c>
      <c r="Q341" t="n">
        <v>-95</v>
      </c>
      <c r="R341" t="n">
        <v>0.0144</v>
      </c>
      <c r="S341">
        <f>IMAGE("https://mitra.stanford.edu/kundaje/oak/projects/neuro-variants/variant_position/credible/roussos_2024/variant_figures/roussos_2024.infant.GLU/rs12122721_count_position.png",4,220,900)</f>
        <v/>
      </c>
      <c r="T341">
        <f>IMAGE("https://mitra.stanford.edu/kundaje/oak/projects/neuro-variants/variant_position/credible/roussos_2024/variant_figures/roussos_2024.infant.GLU/rs12122721_profile_position.png",4,220,900)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0.209454274</v>
      </c>
      <c r="G342" t="n">
        <v>0.0090441337909659</v>
      </c>
      <c r="H342" t="n">
        <v>0.0346038870955199</v>
      </c>
      <c r="I342" t="n">
        <v>0.0352959832659799</v>
      </c>
      <c r="J342" t="n">
        <v>0.6561046319363302</v>
      </c>
      <c r="K342" t="n">
        <v>0.0169789523233458</v>
      </c>
      <c r="L342" t="b">
        <v>1</v>
      </c>
      <c r="M342" t="b">
        <v>1</v>
      </c>
      <c r="N342" t="inlineStr">
        <is>
          <t>alt</t>
        </is>
      </c>
      <c r="O342" t="n">
        <v>100</v>
      </c>
      <c r="P342" t="n">
        <v>0.00885</v>
      </c>
      <c r="Q342" t="n">
        <v>-35</v>
      </c>
      <c r="R342" t="n">
        <v>0.02832</v>
      </c>
      <c r="S342">
        <f>IMAGE("https://mitra.stanford.edu/kundaje/oak/projects/neuro-variants/variant_position/credible/roussos_2024/variant_figures/roussos_2024.infant.GLU/rs6701496_count_position.png",4,220,900)</f>
        <v/>
      </c>
      <c r="T342">
        <f>IMAGE("https://mitra.stanford.edu/kundaje/oak/projects/neuro-variants/variant_position/credible/roussos_2024/variant_figures/roussos_2024.infant.GLU/rs6701496_profile_position.png",4,220,900)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0.1052495055999999</v>
      </c>
      <c r="G343" t="n">
        <v>0.0502598495228805</v>
      </c>
      <c r="H343" t="n">
        <v>0.022006643414716</v>
      </c>
      <c r="I343" t="n">
        <v>0.1498897623406538</v>
      </c>
      <c r="J343" t="n">
        <v>0.7020690491412951</v>
      </c>
      <c r="K343" t="n">
        <v>0.0139805357044153</v>
      </c>
      <c r="L343" t="b">
        <v>0</v>
      </c>
      <c r="M343" t="b">
        <v>0</v>
      </c>
      <c r="N343" t="inlineStr">
        <is>
          <t>alt</t>
        </is>
      </c>
      <c r="O343" t="n">
        <v>10</v>
      </c>
      <c r="P343" t="n">
        <v>0.000977</v>
      </c>
      <c r="Q343" t="n">
        <v>40</v>
      </c>
      <c r="R343" t="n">
        <v>0.0814</v>
      </c>
      <c r="S343">
        <f>IMAGE("https://mitra.stanford.edu/kundaje/oak/projects/neuro-variants/variant_position/credible/roussos_2024/variant_figures/roussos_2024.infant.GLU/rs4844565_count_position.png",4,220,900)</f>
        <v/>
      </c>
      <c r="T343">
        <f>IMAGE("https://mitra.stanford.edu/kundaje/oak/projects/neuro-variants/variant_position/credible/roussos_2024/variant_figures/roussos_2024.infant.GLU/rs4844565_profile_position.png",4,220,900)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0.041566233516</v>
      </c>
      <c r="G344" t="n">
        <v>0.2463476166634675</v>
      </c>
      <c r="H344" t="n">
        <v>0.0159995123136426</v>
      </c>
      <c r="I344" t="n">
        <v>0.3266127365207631</v>
      </c>
      <c r="J344" t="n">
        <v>0.192464560506184</v>
      </c>
      <c r="K344" t="n">
        <v>0.1182741206675612</v>
      </c>
      <c r="L344" t="b">
        <v>0</v>
      </c>
      <c r="M344" t="b">
        <v>0</v>
      </c>
      <c r="N344" t="inlineStr">
        <is>
          <t>alt</t>
        </is>
      </c>
      <c r="O344" t="n">
        <v>100</v>
      </c>
      <c r="P344" t="n">
        <v>0.02502</v>
      </c>
      <c r="Q344" t="n">
        <v>100</v>
      </c>
      <c r="R344" t="n">
        <v>0.07006999999999999</v>
      </c>
      <c r="S344">
        <f>IMAGE("https://mitra.stanford.edu/kundaje/oak/projects/neuro-variants/variant_position/credible/roussos_2024/variant_figures/roussos_2024.infant.GLU/rs2075864_count_position.png",4,220,900)</f>
        <v/>
      </c>
      <c r="T344">
        <f>IMAGE("https://mitra.stanford.edu/kundaje/oak/projects/neuro-variants/variant_position/credible/roussos_2024/variant_figures/roussos_2024.infant.GLU/rs2075864_profile_position.png",4,220,900)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0.02062660264</v>
      </c>
      <c r="G345" t="n">
        <v>0.333081520638647</v>
      </c>
      <c r="H345" t="n">
        <v>0.0178226398905104</v>
      </c>
      <c r="I345" t="n">
        <v>0.2612118100715271</v>
      </c>
      <c r="J345" t="n">
        <v>0.1861692277166604</v>
      </c>
      <c r="K345" t="n">
        <v>0.1225277696069405</v>
      </c>
      <c r="L345" t="b">
        <v>0</v>
      </c>
      <c r="M345" t="b">
        <v>0</v>
      </c>
      <c r="N345" t="inlineStr">
        <is>
          <t>alt</t>
        </is>
      </c>
      <c r="O345" t="n">
        <v>100</v>
      </c>
      <c r="P345" t="n">
        <v>0.02492</v>
      </c>
      <c r="Q345" t="n">
        <v>100</v>
      </c>
      <c r="R345" t="n">
        <v>0.1027</v>
      </c>
      <c r="S345">
        <f>IMAGE("https://mitra.stanford.edu/kundaje/oak/projects/neuro-variants/variant_position/credible/roussos_2024/variant_figures/roussos_2024.infant.GLU/rs2075865_count_position.png",4,220,900)</f>
        <v/>
      </c>
      <c r="T345">
        <f>IMAGE("https://mitra.stanford.edu/kundaje/oak/projects/neuro-variants/variant_position/credible/roussos_2024/variant_figures/roussos_2024.infant.GLU/rs2075865_profile_position.png",4,220,900)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-0.0770516688</v>
      </c>
      <c r="G346" t="n">
        <v>0.08623233685476479</v>
      </c>
      <c r="H346" t="n">
        <v>0.0126866472166769</v>
      </c>
      <c r="I346" t="n">
        <v>0.5060233938540705</v>
      </c>
      <c r="J346" t="n">
        <v>0.0292036861482836</v>
      </c>
      <c r="K346" t="n">
        <v>0.4583564236922261</v>
      </c>
      <c r="L346" t="b">
        <v>0</v>
      </c>
      <c r="M346" t="b">
        <v>0</v>
      </c>
      <c r="N346" t="inlineStr">
        <is>
          <t>ref</t>
        </is>
      </c>
      <c r="O346" t="n">
        <v>35</v>
      </c>
      <c r="P346" t="n">
        <v>0.001984</v>
      </c>
      <c r="Q346" t="n">
        <v>70</v>
      </c>
      <c r="R346" t="n">
        <v>0.1011</v>
      </c>
      <c r="S346">
        <f>IMAGE("https://mitra.stanford.edu/kundaje/oak/projects/neuro-variants/variant_position/credible/roussos_2024/variant_figures/roussos_2024.infant.GLU/rs895239_count_position.png",4,220,900)</f>
        <v/>
      </c>
      <c r="T346">
        <f>IMAGE("https://mitra.stanford.edu/kundaje/oak/projects/neuro-variants/variant_position/credible/roussos_2024/variant_figures/roussos_2024.infant.GLU/rs895239_profile_position.png",4,220,900)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0.00596357046</v>
      </c>
      <c r="G347" t="n">
        <v>0.4642602444954055</v>
      </c>
      <c r="H347" t="n">
        <v>0.0142539364564985</v>
      </c>
      <c r="I347" t="n">
        <v>0.4119724104908069</v>
      </c>
      <c r="J347" t="n">
        <v>0.0299808196829735</v>
      </c>
      <c r="K347" t="n">
        <v>0.4538854130372843</v>
      </c>
      <c r="L347" t="b">
        <v>0</v>
      </c>
      <c r="M347" t="b">
        <v>0</v>
      </c>
      <c r="N347" t="inlineStr">
        <is>
          <t>alt</t>
        </is>
      </c>
      <c r="O347" t="n">
        <v>90</v>
      </c>
      <c r="P347" t="n">
        <v>0.003967</v>
      </c>
      <c r="Q347" t="n">
        <v>60</v>
      </c>
      <c r="R347" t="n">
        <v>0.08484</v>
      </c>
      <c r="S347">
        <f>IMAGE("https://mitra.stanford.edu/kundaje/oak/projects/neuro-variants/variant_position/credible/roussos_2024/variant_figures/roussos_2024.infant.GLU/rs895240_count_position.png",4,220,900)</f>
        <v/>
      </c>
      <c r="T347">
        <f>IMAGE("https://mitra.stanford.edu/kundaje/oak/projects/neuro-variants/variant_position/credible/roussos_2024/variant_figures/roussos_2024.infant.GLU/rs895240_profile_position.png",4,220,900)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0.06259891939999999</v>
      </c>
      <c r="G348" t="n">
        <v>0.1375214986434314</v>
      </c>
      <c r="H348" t="n">
        <v>0.0177201501638704</v>
      </c>
      <c r="I348" t="n">
        <v>0.2563471794569314</v>
      </c>
      <c r="J348" t="n">
        <v>0.1821457704094005</v>
      </c>
      <c r="K348" t="n">
        <v>0.1347317014492008</v>
      </c>
      <c r="L348" t="b">
        <v>0</v>
      </c>
      <c r="M348" t="b">
        <v>0</v>
      </c>
      <c r="N348" t="inlineStr">
        <is>
          <t>alt</t>
        </is>
      </c>
      <c r="O348" t="n">
        <v>-55</v>
      </c>
      <c r="P348" t="n">
        <v>0.01395</v>
      </c>
      <c r="Q348" t="n">
        <v>-5</v>
      </c>
      <c r="R348" t="n">
        <v>0.011475</v>
      </c>
      <c r="S348">
        <f>IMAGE("https://mitra.stanford.edu/kundaje/oak/projects/neuro-variants/variant_position/credible/roussos_2024/variant_figures/roussos_2024.infant.GLU/rs600396_count_position.png",4,220,900)</f>
        <v/>
      </c>
      <c r="T348">
        <f>IMAGE("https://mitra.stanford.edu/kundaje/oak/projects/neuro-variants/variant_position/credible/roussos_2024/variant_figures/roussos_2024.infant.GLU/rs600396_profile_position.png",4,220,900)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0.021374893</v>
      </c>
      <c r="G349" t="n">
        <v>0.3407436518573403</v>
      </c>
      <c r="H349" t="n">
        <v>0.0144744570567096</v>
      </c>
      <c r="I349" t="n">
        <v>0.3906960042193838</v>
      </c>
      <c r="J349" t="n">
        <v>0.0342743446725015</v>
      </c>
      <c r="K349" t="n">
        <v>0.4244781319540809</v>
      </c>
      <c r="L349" t="b">
        <v>0</v>
      </c>
      <c r="M349" t="b">
        <v>0</v>
      </c>
      <c r="N349" t="inlineStr">
        <is>
          <t>alt</t>
        </is>
      </c>
      <c r="O349" t="n">
        <v>-15</v>
      </c>
      <c r="P349" t="n">
        <v>0.003008</v>
      </c>
      <c r="Q349" t="n">
        <v>30</v>
      </c>
      <c r="R349" t="n">
        <v>0.07416</v>
      </c>
      <c r="S349">
        <f>IMAGE("https://mitra.stanford.edu/kundaje/oak/projects/neuro-variants/variant_position/credible/roussos_2024/variant_figures/roussos_2024.infant.GLU/rs7529009_count_position.png",4,220,900)</f>
        <v/>
      </c>
      <c r="T349">
        <f>IMAGE("https://mitra.stanford.edu/kundaje/oak/projects/neuro-variants/variant_position/credible/roussos_2024/variant_figures/roussos_2024.infant.GLU/rs7529009_profile_position.png",4,220,900)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0.144176727</v>
      </c>
      <c r="G350" t="n">
        <v>0.0232615313549076</v>
      </c>
      <c r="H350" t="n">
        <v>0.0445533764586984</v>
      </c>
      <c r="I350" t="n">
        <v>0.012966118829834</v>
      </c>
      <c r="J350" t="n">
        <v>0.2679820983707753</v>
      </c>
      <c r="K350" t="n">
        <v>0.0804022582995471</v>
      </c>
      <c r="L350" t="b">
        <v>1</v>
      </c>
      <c r="M350" t="b">
        <v>0</v>
      </c>
      <c r="N350" t="inlineStr">
        <is>
          <t>alt</t>
        </is>
      </c>
      <c r="O350" t="n">
        <v>55</v>
      </c>
      <c r="P350" t="n">
        <v>0.004547</v>
      </c>
      <c r="Q350" t="n">
        <v>100</v>
      </c>
      <c r="R350" t="n">
        <v>0.10815</v>
      </c>
      <c r="S350">
        <f>IMAGE("https://mitra.stanford.edu/kundaje/oak/projects/neuro-variants/variant_position/credible/roussos_2024/variant_figures/roussos_2024.infant.GLU/rs7530960_count_position.png",4,220,900)</f>
        <v/>
      </c>
      <c r="T350">
        <f>IMAGE("https://mitra.stanford.edu/kundaje/oak/projects/neuro-variants/variant_position/credible/roussos_2024/variant_figures/roussos_2024.infant.GLU/rs7530960_profile_position.png",4,220,900)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-0.0041605789599999</v>
      </c>
      <c r="G351" t="n">
        <v>0.4485401151119488</v>
      </c>
      <c r="H351" t="n">
        <v>0.0211223591168086</v>
      </c>
      <c r="I351" t="n">
        <v>0.1642116869216161</v>
      </c>
      <c r="J351" t="n">
        <v>0.1092462355872042</v>
      </c>
      <c r="K351" t="n">
        <v>0.2022887595986391</v>
      </c>
      <c r="L351" t="b">
        <v>0</v>
      </c>
      <c r="M351" t="b">
        <v>0</v>
      </c>
      <c r="N351" t="inlineStr">
        <is>
          <t>ref</t>
        </is>
      </c>
      <c r="O351" t="n">
        <v>95</v>
      </c>
      <c r="P351" t="n">
        <v>0.1821</v>
      </c>
      <c r="Q351" t="n">
        <v>95</v>
      </c>
      <c r="R351" t="n">
        <v>0.2471</v>
      </c>
      <c r="S351">
        <f>IMAGE("https://mitra.stanford.edu/kundaje/oak/projects/neuro-variants/variant_position/credible/roussos_2024/variant_figures/roussos_2024.infant.GLU/rs3811489_count_position.png",4,220,900)</f>
        <v/>
      </c>
      <c r="T351">
        <f>IMAGE("https://mitra.stanford.edu/kundaje/oak/projects/neuro-variants/variant_position/credible/roussos_2024/variant_figures/roussos_2024.infant.GLU/rs3811489_profile_position.png",4,220,900)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-0.0304594382</v>
      </c>
      <c r="G352" t="n">
        <v>0.3166778396738967</v>
      </c>
      <c r="H352" t="n">
        <v>0.0109938736023791</v>
      </c>
      <c r="I352" t="n">
        <v>0.6337194890329411</v>
      </c>
      <c r="J352" t="n">
        <v>0.1620185630194668</v>
      </c>
      <c r="K352" t="n">
        <v>0.1380925422316825</v>
      </c>
      <c r="L352" t="b">
        <v>0</v>
      </c>
      <c r="M352" t="b">
        <v>0</v>
      </c>
      <c r="N352" t="inlineStr">
        <is>
          <t>ref</t>
        </is>
      </c>
      <c r="O352" t="n">
        <v>100</v>
      </c>
      <c r="P352" t="n">
        <v>0.0059</v>
      </c>
      <c r="Q352" t="n">
        <v>100</v>
      </c>
      <c r="R352" t="n">
        <v>0.2069</v>
      </c>
      <c r="S352">
        <f>IMAGE("https://mitra.stanford.edu/kundaje/oak/projects/neuro-variants/variant_position/credible/roussos_2024/variant_figures/roussos_2024.infant.GLU/rs4412597_count_position.png",4,220,900)</f>
        <v/>
      </c>
      <c r="T352">
        <f>IMAGE("https://mitra.stanford.edu/kundaje/oak/projects/neuro-variants/variant_position/credible/roussos_2024/variant_figures/roussos_2024.infant.GLU/rs4412597_profile_position.png",4,220,900)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0.08344634479999991</v>
      </c>
      <c r="G353" t="n">
        <v>0.085041192932442</v>
      </c>
      <c r="H353" t="n">
        <v>0.0252447588444011</v>
      </c>
      <c r="I353" t="n">
        <v>0.09849508735998259</v>
      </c>
      <c r="J353" t="n">
        <v>0.1890749355144513</v>
      </c>
      <c r="K353" t="n">
        <v>0.1187240003728178</v>
      </c>
      <c r="L353" t="b">
        <v>0</v>
      </c>
      <c r="M353" t="b">
        <v>0</v>
      </c>
      <c r="N353" t="inlineStr">
        <is>
          <t>alt</t>
        </is>
      </c>
      <c r="O353" t="n">
        <v>-5</v>
      </c>
      <c r="P353" t="n">
        <v>0.0012665</v>
      </c>
      <c r="Q353" t="n">
        <v>-60</v>
      </c>
      <c r="R353" t="n">
        <v>0.09546</v>
      </c>
      <c r="S353">
        <f>IMAGE("https://mitra.stanford.edu/kundaje/oak/projects/neuro-variants/variant_position/credible/roussos_2024/variant_figures/roussos_2024.infant.GLU/rs2078219_count_position.png",4,220,900)</f>
        <v/>
      </c>
      <c r="T353">
        <f>IMAGE("https://mitra.stanford.edu/kundaje/oak/projects/neuro-variants/variant_position/credible/roussos_2024/variant_figures/roussos_2024.infant.GLU/rs2078219_profile_position.png",4,220,900)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-0.0463142222</v>
      </c>
      <c r="G354" t="n">
        <v>0.1499120849323285</v>
      </c>
      <c r="H354" t="n">
        <v>0.0179822938400247</v>
      </c>
      <c r="I354" t="n">
        <v>0.2447839066704285</v>
      </c>
      <c r="J354" t="n">
        <v>0.2775413920059966</v>
      </c>
      <c r="K354" t="n">
        <v>0.0767966706122164</v>
      </c>
      <c r="L354" t="b">
        <v>0</v>
      </c>
      <c r="M354" t="b">
        <v>0</v>
      </c>
      <c r="N354" t="inlineStr">
        <is>
          <t>ref</t>
        </is>
      </c>
      <c r="O354" t="n">
        <v>-25</v>
      </c>
      <c r="P354" t="n">
        <v>0.003693</v>
      </c>
      <c r="Q354" t="n">
        <v>75</v>
      </c>
      <c r="R354" t="n">
        <v>0.02417</v>
      </c>
      <c r="S354">
        <f>IMAGE("https://mitra.stanford.edu/kundaje/oak/projects/neuro-variants/variant_position/credible/roussos_2024/variant_figures/roussos_2024.infant.GLU/rs880329_count_position.png",4,220,900)</f>
        <v/>
      </c>
      <c r="T354">
        <f>IMAGE("https://mitra.stanford.edu/kundaje/oak/projects/neuro-variants/variant_position/credible/roussos_2024/variant_figures/roussos_2024.infant.GLU/rs880329_profile_position.png",4,220,900)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0.0668954552</v>
      </c>
      <c r="G355" t="n">
        <v>0.1026137485091611</v>
      </c>
      <c r="H355" t="n">
        <v>0.0329849146056785</v>
      </c>
      <c r="I355" t="n">
        <v>0.0419231596834839</v>
      </c>
      <c r="J355" t="n">
        <v>0.0566205163253157</v>
      </c>
      <c r="K355" t="n">
        <v>0.3282158756284165</v>
      </c>
      <c r="L355" t="b">
        <v>0</v>
      </c>
      <c r="M355" t="b">
        <v>0</v>
      </c>
      <c r="N355" t="inlineStr">
        <is>
          <t>alt</t>
        </is>
      </c>
      <c r="O355" t="n">
        <v>100</v>
      </c>
      <c r="P355" t="n">
        <v>0.007328</v>
      </c>
      <c r="Q355" t="n">
        <v>-40</v>
      </c>
      <c r="R355" t="n">
        <v>0.0203</v>
      </c>
      <c r="S355">
        <f>IMAGE("https://mitra.stanford.edu/kundaje/oak/projects/neuro-variants/variant_position/credible/roussos_2024/variant_figures/roussos_2024.infant.GLU/rs12083455_count_position.png",4,220,900)</f>
        <v/>
      </c>
      <c r="T355">
        <f>IMAGE("https://mitra.stanford.edu/kundaje/oak/projects/neuro-variants/variant_position/credible/roussos_2024/variant_figures/roussos_2024.infant.GLU/rs12083455_profile_position.png",4,220,900)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0.00883830616</v>
      </c>
      <c r="G356" t="n">
        <v>0.6878674246481569</v>
      </c>
      <c r="H356" t="n">
        <v>0.0114701322325303</v>
      </c>
      <c r="I356" t="n">
        <v>0.5985647942932417</v>
      </c>
      <c r="J356" t="n">
        <v>0.0399027756343834</v>
      </c>
      <c r="K356" t="n">
        <v>0.3989379801293551</v>
      </c>
      <c r="L356" t="b">
        <v>0</v>
      </c>
      <c r="M356" t="b">
        <v>0</v>
      </c>
      <c r="N356" t="inlineStr">
        <is>
          <t>alt</t>
        </is>
      </c>
      <c r="O356" t="n">
        <v>10</v>
      </c>
      <c r="P356" t="n">
        <v>0.000992</v>
      </c>
      <c r="Q356" t="n">
        <v>5</v>
      </c>
      <c r="R356" t="n">
        <v>0.003815</v>
      </c>
      <c r="S356">
        <f>IMAGE("https://mitra.stanford.edu/kundaje/oak/projects/neuro-variants/variant_position/credible/roussos_2024/variant_figures/roussos_2024.infant.GLU/rs7512794_count_position.png",4,220,900)</f>
        <v/>
      </c>
      <c r="T356">
        <f>IMAGE("https://mitra.stanford.edu/kundaje/oak/projects/neuro-variants/variant_position/credible/roussos_2024/variant_figures/roussos_2024.infant.GLU/rs7512794_profile_position.png",4,220,900)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0.0777233922</v>
      </c>
      <c r="G357" t="n">
        <v>0.0808337798361102</v>
      </c>
      <c r="H357" t="n">
        <v>0.0127350146350968</v>
      </c>
      <c r="I357" t="n">
        <v>0.5011826794930113</v>
      </c>
      <c r="J357" t="n">
        <v>0.0508168169492272</v>
      </c>
      <c r="K357" t="n">
        <v>0.3419511516325995</v>
      </c>
      <c r="L357" t="b">
        <v>0</v>
      </c>
      <c r="M357" t="b">
        <v>0</v>
      </c>
      <c r="N357" t="inlineStr">
        <is>
          <t>alt</t>
        </is>
      </c>
      <c r="O357" t="n">
        <v>-50</v>
      </c>
      <c r="P357" t="n">
        <v>0.00661</v>
      </c>
      <c r="Q357" t="n">
        <v>-60</v>
      </c>
      <c r="R357" t="n">
        <v>0.04468</v>
      </c>
      <c r="S357">
        <f>IMAGE("https://mitra.stanford.edu/kundaje/oak/projects/neuro-variants/variant_position/credible/roussos_2024/variant_figures/roussos_2024.infant.GLU/rs7520068_count_position.png",4,220,900)</f>
        <v/>
      </c>
      <c r="T357">
        <f>IMAGE("https://mitra.stanford.edu/kundaje/oak/projects/neuro-variants/variant_position/credible/roussos_2024/variant_figures/roussos_2024.infant.GLU/rs7520068_profile_position.png",4,220,900)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0.0091671698</v>
      </c>
      <c r="G358" t="n">
        <v>0.4776900606506899</v>
      </c>
      <c r="H358" t="n">
        <v>0.019825598254712</v>
      </c>
      <c r="I358" t="n">
        <v>0.1883617562873372</v>
      </c>
      <c r="J358" t="n">
        <v>0.0157245530104278</v>
      </c>
      <c r="K358" t="n">
        <v>0.5863244774898543</v>
      </c>
      <c r="L358" t="b">
        <v>0</v>
      </c>
      <c r="M358" t="b">
        <v>0</v>
      </c>
      <c r="N358" t="inlineStr">
        <is>
          <t>alt</t>
        </is>
      </c>
      <c r="O358" t="n">
        <v>-90</v>
      </c>
      <c r="P358" t="n">
        <v>0.01233</v>
      </c>
      <c r="Q358" t="n">
        <v>-35</v>
      </c>
      <c r="R358" t="n">
        <v>0.0761</v>
      </c>
      <c r="S358">
        <f>IMAGE("https://mitra.stanford.edu/kundaje/oak/projects/neuro-variants/variant_position/credible/roussos_2024/variant_figures/roussos_2024.infant.GLU/rs7531956_count_position.png",4,220,900)</f>
        <v/>
      </c>
      <c r="T358">
        <f>IMAGE("https://mitra.stanford.edu/kundaje/oak/projects/neuro-variants/variant_position/credible/roussos_2024/variant_figures/roussos_2024.infant.GLU/rs7531956_profile_position.png",4,220,900)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-0.0247033092</v>
      </c>
      <c r="G359" t="n">
        <v>0.3842758768949639</v>
      </c>
      <c r="H359" t="n">
        <v>0.055055480047278</v>
      </c>
      <c r="I359" t="n">
        <v>0.0047663514125208</v>
      </c>
      <c r="J359" t="n">
        <v>0.0004508476818271</v>
      </c>
      <c r="K359" t="n">
        <v>0.935704866656387</v>
      </c>
      <c r="L359" t="b">
        <v>0</v>
      </c>
      <c r="M359" t="b">
        <v>0</v>
      </c>
      <c r="N359" t="inlineStr">
        <is>
          <t>ref</t>
        </is>
      </c>
      <c r="O359" t="n">
        <v>-60</v>
      </c>
      <c r="P359" t="n">
        <v>0.02328</v>
      </c>
      <c r="Q359" t="n">
        <v>95</v>
      </c>
      <c r="R359" t="n">
        <v>0.05005</v>
      </c>
      <c r="S359">
        <f>IMAGE("https://mitra.stanford.edu/kundaje/oak/projects/neuro-variants/variant_position/credible/roussos_2024/variant_figures/roussos_2024.infant.GLU/rs9428451_count_position.png",4,220,900)</f>
        <v/>
      </c>
      <c r="T359">
        <f>IMAGE("https://mitra.stanford.edu/kundaje/oak/projects/neuro-variants/variant_position/credible/roussos_2024/variant_figures/roussos_2024.infant.GLU/rs9428451_profile_position.png",4,220,900)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0.00880520762</v>
      </c>
      <c r="G360" t="n">
        <v>0.6601951454267103</v>
      </c>
      <c r="H360" t="n">
        <v>0.0107975378615616</v>
      </c>
      <c r="I360" t="n">
        <v>0.6624629275221169</v>
      </c>
      <c r="J360" t="n">
        <v>0.0115743292400625</v>
      </c>
      <c r="K360" t="n">
        <v>0.6458092221850178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0.04105</v>
      </c>
      <c r="Q360" t="n">
        <v>30</v>
      </c>
      <c r="R360" t="n">
        <v>0.1182</v>
      </c>
      <c r="S360">
        <f>IMAGE("https://mitra.stanford.edu/kundaje/oak/projects/neuro-variants/variant_position/credible/roussos_2024/variant_figures/roussos_2024.infant.GLU/rs12741781_count_position.png",4,220,900)</f>
        <v/>
      </c>
      <c r="T360">
        <f>IMAGE("https://mitra.stanford.edu/kundaje/oak/projects/neuro-variants/variant_position/credible/roussos_2024/variant_figures/roussos_2024.infant.GLU/rs12741781_profile_position.png",4,220,900)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0.021414169</v>
      </c>
      <c r="G361" t="n">
        <v>0.3794356188345833</v>
      </c>
      <c r="H361" t="n">
        <v>0.0108037831062601</v>
      </c>
      <c r="I361" t="n">
        <v>0.6525415428290227</v>
      </c>
      <c r="J361" t="n">
        <v>0.0598690447320266</v>
      </c>
      <c r="K361" t="n">
        <v>0.3060016418118719</v>
      </c>
      <c r="L361" t="b">
        <v>0</v>
      </c>
      <c r="M361" t="b">
        <v>0</v>
      </c>
      <c r="N361" t="inlineStr">
        <is>
          <t>alt</t>
        </is>
      </c>
      <c r="O361" t="n">
        <v>0</v>
      </c>
      <c r="P361" t="n">
        <v>0</v>
      </c>
      <c r="Q361" t="n">
        <v>0</v>
      </c>
      <c r="R361" t="n">
        <v>0</v>
      </c>
      <c r="S361">
        <f>IMAGE("https://mitra.stanford.edu/kundaje/oak/projects/neuro-variants/variant_position/credible/roussos_2024/variant_figures/roussos_2024.infant.GLU/rs2275154_count_position.png",4,220,900)</f>
        <v/>
      </c>
      <c r="T361">
        <f>IMAGE("https://mitra.stanford.edu/kundaje/oak/projects/neuro-variants/variant_position/credible/roussos_2024/variant_figures/roussos_2024.infant.GLU/rs2275154_profile_position.png",4,220,900)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0.0221557691</v>
      </c>
      <c r="G362" t="n">
        <v>0.4101506391991956</v>
      </c>
      <c r="H362" t="n">
        <v>0.0082484663546633</v>
      </c>
      <c r="I362" t="n">
        <v>0.8902015782366568</v>
      </c>
      <c r="J362" t="n">
        <v>0.4930421746511166</v>
      </c>
      <c r="K362" t="n">
        <v>0.0318614647902414</v>
      </c>
      <c r="L362" t="b">
        <v>0</v>
      </c>
      <c r="M362" t="b">
        <v>0</v>
      </c>
      <c r="N362" t="inlineStr">
        <is>
          <t>alt</t>
        </is>
      </c>
      <c r="O362" t="n">
        <v>70</v>
      </c>
      <c r="P362" t="n">
        <v>0.01119</v>
      </c>
      <c r="Q362" t="n">
        <v>100</v>
      </c>
      <c r="R362" t="n">
        <v>0.3062</v>
      </c>
      <c r="S362">
        <f>IMAGE("https://mitra.stanford.edu/kundaje/oak/projects/neuro-variants/variant_position/credible/roussos_2024/variant_figures/roussos_2024.infant.GLU/rs884328_count_position.png",4,220,900)</f>
        <v/>
      </c>
      <c r="T362">
        <f>IMAGE("https://mitra.stanford.edu/kundaje/oak/projects/neuro-variants/variant_position/credible/roussos_2024/variant_figures/roussos_2024.infant.GLU/rs884328_profile_position.png",4,220,900)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0.07788043779999999</v>
      </c>
      <c r="G363" t="n">
        <v>0.07819509284554919</v>
      </c>
      <c r="H363" t="n">
        <v>0.0159648004081023</v>
      </c>
      <c r="I363" t="n">
        <v>0.3155782056962529</v>
      </c>
      <c r="J363" t="n">
        <v>0.2164509799598756</v>
      </c>
      <c r="K363" t="n">
        <v>0.1015495599422284</v>
      </c>
      <c r="L363" t="b">
        <v>0</v>
      </c>
      <c r="M363" t="b">
        <v>0</v>
      </c>
      <c r="N363" t="inlineStr">
        <is>
          <t>alt</t>
        </is>
      </c>
      <c r="O363" t="n">
        <v>20</v>
      </c>
      <c r="P363" t="n">
        <v>0.00839</v>
      </c>
      <c r="Q363" t="n">
        <v>55</v>
      </c>
      <c r="R363" t="n">
        <v>0.099</v>
      </c>
      <c r="S363">
        <f>IMAGE("https://mitra.stanford.edu/kundaje/oak/projects/neuro-variants/variant_position/credible/roussos_2024/variant_figures/roussos_2024.infant.GLU/rs1352162_count_position.png",4,220,900)</f>
        <v/>
      </c>
      <c r="T363">
        <f>IMAGE("https://mitra.stanford.edu/kundaje/oak/projects/neuro-variants/variant_position/credible/roussos_2024/variant_figures/roussos_2024.infant.GLU/rs1352162_profile_position.png",4,220,900)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0.059152168</v>
      </c>
      <c r="G364" t="n">
        <v>0.1316692947058494</v>
      </c>
      <c r="H364" t="n">
        <v>0.0140399048152011</v>
      </c>
      <c r="I364" t="n">
        <v>0.4157713285753022</v>
      </c>
      <c r="J364" t="n">
        <v>0.1680250887365241</v>
      </c>
      <c r="K364" t="n">
        <v>0.1346904098135539</v>
      </c>
      <c r="L364" t="b">
        <v>0</v>
      </c>
      <c r="M364" t="b">
        <v>0</v>
      </c>
      <c r="N364" t="inlineStr">
        <is>
          <t>alt</t>
        </is>
      </c>
      <c r="O364" t="n">
        <v>95</v>
      </c>
      <c r="P364" t="n">
        <v>0.01509</v>
      </c>
      <c r="Q364" t="n">
        <v>100</v>
      </c>
      <c r="R364" t="n">
        <v>0.1283</v>
      </c>
      <c r="S364">
        <f>IMAGE("https://mitra.stanford.edu/kundaje/oak/projects/neuro-variants/variant_position/credible/roussos_2024/variant_figures/roussos_2024.infant.GLU/rs145071536_count_position.png",4,220,900)</f>
        <v/>
      </c>
      <c r="T364">
        <f>IMAGE("https://mitra.stanford.edu/kundaje/oak/projects/neuro-variants/variant_position/credible/roussos_2024/variant_figures/roussos_2024.infant.GLU/rs145071536_profile_position.png",4,220,900)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0.02446536572</v>
      </c>
      <c r="G365" t="n">
        <v>0.3776698787122749</v>
      </c>
      <c r="H365" t="n">
        <v>0.0347540668322455</v>
      </c>
      <c r="I365" t="n">
        <v>0.0349820634695098</v>
      </c>
      <c r="J365" t="n">
        <v>0.0036211115765338</v>
      </c>
      <c r="K365" t="n">
        <v>0.8042312395028159</v>
      </c>
      <c r="L365" t="b">
        <v>0</v>
      </c>
      <c r="M365" t="b">
        <v>0</v>
      </c>
      <c r="N365" t="inlineStr">
        <is>
          <t>alt</t>
        </is>
      </c>
      <c r="O365" t="n">
        <v>-95</v>
      </c>
      <c r="P365" t="n">
        <v>0.009650000000000001</v>
      </c>
      <c r="Q365" t="n">
        <v>50</v>
      </c>
      <c r="R365" t="n">
        <v>0.07996</v>
      </c>
      <c r="S365">
        <f>IMAGE("https://mitra.stanford.edu/kundaje/oak/projects/neuro-variants/variant_position/credible/roussos_2024/variant_figures/roussos_2024.infant.GLU/rs11586029_count_position.png",4,220,900)</f>
        <v/>
      </c>
      <c r="T365">
        <f>IMAGE("https://mitra.stanford.edu/kundaje/oak/projects/neuro-variants/variant_position/credible/roussos_2024/variant_figures/roussos_2024.infant.GLU/rs11586029_profile_position.png",4,220,900)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0.0135678725999999</v>
      </c>
      <c r="G366" t="n">
        <v>0.5444083364327884</v>
      </c>
      <c r="H366" t="n">
        <v>0.0217804806924535</v>
      </c>
      <c r="I366" t="n">
        <v>0.1477854585949917</v>
      </c>
      <c r="J366" t="n">
        <v>0.0299686941951982</v>
      </c>
      <c r="K366" t="n">
        <v>0.4507483129539957</v>
      </c>
      <c r="L366" t="b">
        <v>0</v>
      </c>
      <c r="M366" t="b">
        <v>0</v>
      </c>
      <c r="N366" t="inlineStr">
        <is>
          <t>alt</t>
        </is>
      </c>
      <c r="O366" t="n">
        <v>70</v>
      </c>
      <c r="P366" t="n">
        <v>0.03378</v>
      </c>
      <c r="Q366" t="n">
        <v>30</v>
      </c>
      <c r="R366" t="n">
        <v>0.07190000000000001</v>
      </c>
      <c r="S366">
        <f>IMAGE("https://mitra.stanford.edu/kundaje/oak/projects/neuro-variants/variant_position/credible/roussos_2024/variant_figures/roussos_2024.infant.GLU/rs61833239_count_position.png",4,220,900)</f>
        <v/>
      </c>
      <c r="T366">
        <f>IMAGE("https://mitra.stanford.edu/kundaje/oak/projects/neuro-variants/variant_position/credible/roussos_2024/variant_figures/roussos_2024.infant.GLU/rs61833239_profile_position.png",4,220,900)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0.0543718746</v>
      </c>
      <c r="G367" t="n">
        <v>0.1697561966420177</v>
      </c>
      <c r="H367" t="n">
        <v>0.0144923119827162</v>
      </c>
      <c r="I367" t="n">
        <v>0.3885659029346822</v>
      </c>
      <c r="J367" t="n">
        <v>0.1068112171785091</v>
      </c>
      <c r="K367" t="n">
        <v>0.1954830637359062</v>
      </c>
      <c r="L367" t="b">
        <v>0</v>
      </c>
      <c r="M367" t="b">
        <v>0</v>
      </c>
      <c r="N367" t="inlineStr">
        <is>
          <t>alt</t>
        </is>
      </c>
      <c r="O367" t="n">
        <v>-25</v>
      </c>
      <c r="P367" t="n">
        <v>0.004112</v>
      </c>
      <c r="Q367" t="n">
        <v>65</v>
      </c>
      <c r="R367" t="n">
        <v>0.0825</v>
      </c>
      <c r="S367">
        <f>IMAGE("https://mitra.stanford.edu/kundaje/oak/projects/neuro-variants/variant_position/credible/roussos_2024/variant_figures/roussos_2024.infant.GLU/rs1043003_count_position.png",4,220,900)</f>
        <v/>
      </c>
      <c r="T367">
        <f>IMAGE("https://mitra.stanford.edu/kundaje/oak/projects/neuro-variants/variant_position/credible/roussos_2024/variant_figures/roussos_2024.infant.GLU/rs1043003_profile_position.png",4,220,900)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-0.009521413919999999</v>
      </c>
      <c r="G368" t="n">
        <v>0.6615924011747321</v>
      </c>
      <c r="H368" t="n">
        <v>0.0437576048814374</v>
      </c>
      <c r="I368" t="n">
        <v>0.0139422931524886</v>
      </c>
      <c r="J368" t="n">
        <v>0.1157234506933573</v>
      </c>
      <c r="K368" t="n">
        <v>0.1883850867309318</v>
      </c>
      <c r="L368" t="b">
        <v>1</v>
      </c>
      <c r="M368" t="b">
        <v>0</v>
      </c>
      <c r="N368" t="inlineStr">
        <is>
          <t>ref</t>
        </is>
      </c>
      <c r="O368" t="n">
        <v>-50</v>
      </c>
      <c r="P368" t="n">
        <v>0.01941</v>
      </c>
      <c r="Q368" t="n">
        <v>-45</v>
      </c>
      <c r="R368" t="n">
        <v>0.06067</v>
      </c>
      <c r="S368">
        <f>IMAGE("https://mitra.stanford.edu/kundaje/oak/projects/neuro-variants/variant_position/credible/roussos_2024/variant_figures/roussos_2024.infant.GLU/rs11014167_count_position.png",4,220,900)</f>
        <v/>
      </c>
      <c r="T368">
        <f>IMAGE("https://mitra.stanford.edu/kundaje/oak/projects/neuro-variants/variant_position/credible/roussos_2024/variant_figures/roussos_2024.infant.GLU/rs11014167_profile_position.png",4,220,900)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-0.073205956</v>
      </c>
      <c r="G369" t="n">
        <v>0.093700990088529</v>
      </c>
      <c r="H369" t="n">
        <v>0.0125442645609146</v>
      </c>
      <c r="I369" t="n">
        <v>0.5173491122679232</v>
      </c>
      <c r="J369" t="n">
        <v>0.3877532573469432</v>
      </c>
      <c r="K369" t="n">
        <v>0.0479319516646551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0.01068</v>
      </c>
      <c r="Q369" t="n">
        <v>100</v>
      </c>
      <c r="R369" t="n">
        <v>0.1338</v>
      </c>
      <c r="S369">
        <f>IMAGE("https://mitra.stanford.edu/kundaje/oak/projects/neuro-variants/variant_position/credible/roussos_2024/variant_figures/roussos_2024.infant.GLU/rs640729_count_position.png",4,220,900)</f>
        <v/>
      </c>
      <c r="T369">
        <f>IMAGE("https://mitra.stanford.edu/kundaje/oak/projects/neuro-variants/variant_position/credible/roussos_2024/variant_figures/roussos_2024.infant.GLU/rs640729_profile_position.png",4,220,900)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0.0288456704</v>
      </c>
      <c r="G370" t="n">
        <v>0.3359351233841565</v>
      </c>
      <c r="H370" t="n">
        <v>0.009565078402858401</v>
      </c>
      <c r="I370" t="n">
        <v>0.7640828148546703</v>
      </c>
      <c r="J370" t="n">
        <v>0.1157168367909345</v>
      </c>
      <c r="K370" t="n">
        <v>0.1874996882119728</v>
      </c>
      <c r="L370" t="b">
        <v>0</v>
      </c>
      <c r="M370" t="b">
        <v>0</v>
      </c>
      <c r="N370" t="inlineStr">
        <is>
          <t>alt</t>
        </is>
      </c>
      <c r="O370" t="n">
        <v>80</v>
      </c>
      <c r="P370" t="n">
        <v>0.01424</v>
      </c>
      <c r="Q370" t="n">
        <v>90</v>
      </c>
      <c r="R370" t="n">
        <v>0.24</v>
      </c>
      <c r="S370">
        <f>IMAGE("https://mitra.stanford.edu/kundaje/oak/projects/neuro-variants/variant_position/credible/roussos_2024/variant_figures/roussos_2024.infant.GLU/rs663759_count_position.png",4,220,900)</f>
        <v/>
      </c>
      <c r="T370">
        <f>IMAGE("https://mitra.stanford.edu/kundaje/oak/projects/neuro-variants/variant_position/credible/roussos_2024/variant_figures/roussos_2024.infant.GLU/rs663759_profile_position.png",4,220,900)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-0.0351946017999999</v>
      </c>
      <c r="G371" t="n">
        <v>0.2676801307498421</v>
      </c>
      <c r="H371" t="n">
        <v>0.0179580243692691</v>
      </c>
      <c r="I371" t="n">
        <v>0.2382646683627828</v>
      </c>
      <c r="J371" t="n">
        <v>0.0104609889988756</v>
      </c>
      <c r="K371" t="n">
        <v>0.6611900825224841</v>
      </c>
      <c r="L371" t="b">
        <v>0</v>
      </c>
      <c r="M371" t="b">
        <v>0</v>
      </c>
      <c r="N371" t="inlineStr">
        <is>
          <t>ref</t>
        </is>
      </c>
      <c r="O371" t="n">
        <v>45</v>
      </c>
      <c r="P371" t="n">
        <v>0.00432</v>
      </c>
      <c r="Q371" t="n">
        <v>15</v>
      </c>
      <c r="R371" t="n">
        <v>0.006958</v>
      </c>
      <c r="S371">
        <f>IMAGE("https://mitra.stanford.edu/kundaje/oak/projects/neuro-variants/variant_position/credible/roussos_2024/variant_figures/roussos_2024.infant.GLU/rs602572_count_position.png",4,220,900)</f>
        <v/>
      </c>
      <c r="T371">
        <f>IMAGE("https://mitra.stanford.edu/kundaje/oak/projects/neuro-variants/variant_position/credible/roussos_2024/variant_figures/roussos_2024.infant.GLU/rs602572_profile_position.png",4,220,900)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0.0363347667</v>
      </c>
      <c r="G372" t="n">
        <v>0.2675246973744445</v>
      </c>
      <c r="H372" t="n">
        <v>0.0111509733853127</v>
      </c>
      <c r="I372" t="n">
        <v>0.6331748451269571</v>
      </c>
      <c r="J372" t="n">
        <v>0.1474062479331554</v>
      </c>
      <c r="K372" t="n">
        <v>0.1498883242594911</v>
      </c>
      <c r="L372" t="b">
        <v>0</v>
      </c>
      <c r="M372" t="b">
        <v>0</v>
      </c>
      <c r="N372" t="inlineStr">
        <is>
          <t>alt</t>
        </is>
      </c>
      <c r="O372" t="n">
        <v>-90</v>
      </c>
      <c r="P372" t="n">
        <v>0.0171</v>
      </c>
      <c r="Q372" t="n">
        <v>30</v>
      </c>
      <c r="R372" t="n">
        <v>0.01746</v>
      </c>
      <c r="S372">
        <f>IMAGE("https://mitra.stanford.edu/kundaje/oak/projects/neuro-variants/variant_position/credible/roussos_2024/variant_figures/roussos_2024.infant.GLU/rs10994321_count_position.png",4,220,900)</f>
        <v/>
      </c>
      <c r="T372">
        <f>IMAGE("https://mitra.stanford.edu/kundaje/oak/projects/neuro-variants/variant_position/credible/roussos_2024/variant_figures/roussos_2024.infant.GLU/rs10994321_profile_position.png",4,220,900)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0.08444138459999991</v>
      </c>
      <c r="G373" t="n">
        <v>0.07172773135779779</v>
      </c>
      <c r="H373" t="n">
        <v>0.0207848359027698</v>
      </c>
      <c r="I373" t="n">
        <v>0.1684487427177885</v>
      </c>
      <c r="J373" t="n">
        <v>0.0011750699971339</v>
      </c>
      <c r="K373" t="n">
        <v>0.9072833630061824</v>
      </c>
      <c r="L373" t="b">
        <v>0</v>
      </c>
      <c r="M373" t="b">
        <v>0</v>
      </c>
      <c r="N373" t="inlineStr">
        <is>
          <t>alt</t>
        </is>
      </c>
      <c r="O373" t="n">
        <v>80</v>
      </c>
      <c r="P373" t="n">
        <v>0.01869</v>
      </c>
      <c r="Q373" t="n">
        <v>100</v>
      </c>
      <c r="R373" t="n">
        <v>0.1024</v>
      </c>
      <c r="S373">
        <f>IMAGE("https://mitra.stanford.edu/kundaje/oak/projects/neuro-variants/variant_position/credible/roussos_2024/variant_figures/roussos_2024.infant.GLU/rs10994336_count_position.png",4,220,900)</f>
        <v/>
      </c>
      <c r="T373">
        <f>IMAGE("https://mitra.stanford.edu/kundaje/oak/projects/neuro-variants/variant_position/credible/roussos_2024/variant_figures/roussos_2024.infant.GLU/rs10994336_profile_position.png",4,220,900)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0.18271995</v>
      </c>
      <c r="G374" t="n">
        <v>0.013749061791391</v>
      </c>
      <c r="H374" t="n">
        <v>0.0296234440098429</v>
      </c>
      <c r="I374" t="n">
        <v>0.0612184579465928</v>
      </c>
      <c r="J374" t="n">
        <v>0.0204953812914746</v>
      </c>
      <c r="K374" t="n">
        <v>0.5345110939364826</v>
      </c>
      <c r="L374" t="b">
        <v>1</v>
      </c>
      <c r="M374" t="b">
        <v>0</v>
      </c>
      <c r="N374" t="inlineStr">
        <is>
          <t>alt</t>
        </is>
      </c>
      <c r="O374" t="n">
        <v>100</v>
      </c>
      <c r="P374" t="n">
        <v>0.0374</v>
      </c>
      <c r="Q374" t="n">
        <v>70</v>
      </c>
      <c r="R374" t="n">
        <v>0.04504</v>
      </c>
      <c r="S374">
        <f>IMAGE("https://mitra.stanford.edu/kundaje/oak/projects/neuro-variants/variant_position/credible/roussos_2024/variant_figures/roussos_2024.infant.GLU/rs10994337_count_position.png",4,220,900)</f>
        <v/>
      </c>
      <c r="T374">
        <f>IMAGE("https://mitra.stanford.edu/kundaje/oak/projects/neuro-variants/variant_position/credible/roussos_2024/variant_figures/roussos_2024.infant.GLU/rs10994337_profile_position.png",4,220,900)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0.0118849038399999</v>
      </c>
      <c r="G375" t="n">
        <v>0.5899327138302973</v>
      </c>
      <c r="H375" t="n">
        <v>0.009090268297183301</v>
      </c>
      <c r="I375" t="n">
        <v>0.7919535997694876</v>
      </c>
      <c r="J375" t="n">
        <v>0.0544555655988888</v>
      </c>
      <c r="K375" t="n">
        <v>0.3329225384151932</v>
      </c>
      <c r="L375" t="b">
        <v>0</v>
      </c>
      <c r="M375" t="b">
        <v>0</v>
      </c>
      <c r="N375" t="inlineStr">
        <is>
          <t>alt</t>
        </is>
      </c>
      <c r="O375" t="n">
        <v>65</v>
      </c>
      <c r="P375" t="n">
        <v>0.003876</v>
      </c>
      <c r="Q375" t="n">
        <v>-95</v>
      </c>
      <c r="R375" t="n">
        <v>0.0741</v>
      </c>
      <c r="S375">
        <f>IMAGE("https://mitra.stanford.edu/kundaje/oak/projects/neuro-variants/variant_position/credible/roussos_2024/variant_figures/roussos_2024.infant.GLU/rs61847646_count_position.png",4,220,900)</f>
        <v/>
      </c>
      <c r="T375">
        <f>IMAGE("https://mitra.stanford.edu/kundaje/oak/projects/neuro-variants/variant_position/credible/roussos_2024/variant_figures/roussos_2024.infant.GLU/rs61847646_profile_position.png",4,220,900)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0.00324848462</v>
      </c>
      <c r="G376" t="n">
        <v>0.5637324247515202</v>
      </c>
      <c r="H376" t="n">
        <v>0.0464746376195533</v>
      </c>
      <c r="I376" t="n">
        <v>0.0106240644681886</v>
      </c>
      <c r="J376" t="n">
        <v>0.0024614740183866</v>
      </c>
      <c r="K376" t="n">
        <v>0.8339388038316379</v>
      </c>
      <c r="L376" t="b">
        <v>0</v>
      </c>
      <c r="M376" t="b">
        <v>0</v>
      </c>
      <c r="N376" t="inlineStr">
        <is>
          <t>alt</t>
        </is>
      </c>
      <c r="O376" t="n">
        <v>-90</v>
      </c>
      <c r="P376" t="n">
        <v>0.0169</v>
      </c>
      <c r="Q376" t="n">
        <v>-90</v>
      </c>
      <c r="R376" t="n">
        <v>0.04547</v>
      </c>
      <c r="S376">
        <f>IMAGE("https://mitra.stanford.edu/kundaje/oak/projects/neuro-variants/variant_position/credible/roussos_2024/variant_figures/roussos_2024.infant.GLU/rs9633553_count_position.png",4,220,900)</f>
        <v/>
      </c>
      <c r="T376">
        <f>IMAGE("https://mitra.stanford.edu/kundaje/oak/projects/neuro-variants/variant_position/credible/roussos_2024/variant_figures/roussos_2024.infant.GLU/rs9633553_profile_position.png",4,220,900)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-0.164007304</v>
      </c>
      <c r="G377" t="n">
        <v>0.0172162152484965</v>
      </c>
      <c r="H377" t="n">
        <v>0.021511494035507</v>
      </c>
      <c r="I377" t="n">
        <v>0.1525843447191195</v>
      </c>
      <c r="J377" t="n">
        <v>0.3687228554421393</v>
      </c>
      <c r="K377" t="n">
        <v>0.0514407418704304</v>
      </c>
      <c r="L377" t="b">
        <v>1</v>
      </c>
      <c r="M377" t="b">
        <v>0</v>
      </c>
      <c r="N377" t="inlineStr">
        <is>
          <t>ref</t>
        </is>
      </c>
      <c r="O377" t="n">
        <v>-25</v>
      </c>
      <c r="P377" t="n">
        <v>0.004486</v>
      </c>
      <c r="Q377" t="n">
        <v>95</v>
      </c>
      <c r="R377" t="n">
        <v>0.10986</v>
      </c>
      <c r="S377">
        <f>IMAGE("https://mitra.stanford.edu/kundaje/oak/projects/neuro-variants/variant_position/credible/roussos_2024/variant_figures/roussos_2024.infant.GLU/rs10821789_count_position.png",4,220,900)</f>
        <v/>
      </c>
      <c r="T377">
        <f>IMAGE("https://mitra.stanford.edu/kundaje/oak/projects/neuro-variants/variant_position/credible/roussos_2024/variant_figures/roussos_2024.infant.GLU/rs10821789_profile_position.png",4,220,900)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0.0503055908</v>
      </c>
      <c r="G378" t="n">
        <v>0.1614479310281348</v>
      </c>
      <c r="H378" t="n">
        <v>0.0100163804255766</v>
      </c>
      <c r="I378" t="n">
        <v>0.722887221652413</v>
      </c>
      <c r="J378" t="n">
        <v>0.0928404506272183</v>
      </c>
      <c r="K378" t="n">
        <v>0.2199840826473778</v>
      </c>
      <c r="L378" t="b">
        <v>0</v>
      </c>
      <c r="M378" t="b">
        <v>0</v>
      </c>
      <c r="N378" t="inlineStr">
        <is>
          <t>alt</t>
        </is>
      </c>
      <c r="O378" t="n">
        <v>100</v>
      </c>
      <c r="P378" t="n">
        <v>0.02103</v>
      </c>
      <c r="Q378" t="n">
        <v>20</v>
      </c>
      <c r="R378" t="n">
        <v>0.03467</v>
      </c>
      <c r="S378">
        <f>IMAGE("https://mitra.stanford.edu/kundaje/oak/projects/neuro-variants/variant_position/credible/roussos_2024/variant_figures/roussos_2024.infant.GLU/rs7915640_count_position.png",4,220,900)</f>
        <v/>
      </c>
      <c r="T378">
        <f>IMAGE("https://mitra.stanford.edu/kundaje/oak/projects/neuro-variants/variant_position/credible/roussos_2024/variant_figures/roussos_2024.infant.GLU/rs7915640_profile_position.png",4,220,900)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-0.0105081993</v>
      </c>
      <c r="G379" t="n">
        <v>0.5650761346720545</v>
      </c>
      <c r="H379" t="n">
        <v>0.0130912091850099</v>
      </c>
      <c r="I379" t="n">
        <v>0.4797288797043096</v>
      </c>
      <c r="J379" t="n">
        <v>0.4622302078969994</v>
      </c>
      <c r="K379" t="n">
        <v>0.0353042887237677</v>
      </c>
      <c r="L379" t="b">
        <v>0</v>
      </c>
      <c r="M379" t="b">
        <v>0</v>
      </c>
      <c r="N379" t="inlineStr">
        <is>
          <t>ref</t>
        </is>
      </c>
      <c r="O379" t="n">
        <v>-100</v>
      </c>
      <c r="P379" t="n">
        <v>0.05188</v>
      </c>
      <c r="Q379" t="n">
        <v>-100</v>
      </c>
      <c r="R379" t="n">
        <v>0.1984</v>
      </c>
      <c r="S379">
        <f>IMAGE("https://mitra.stanford.edu/kundaje/oak/projects/neuro-variants/variant_position/credible/roussos_2024/variant_figures/roussos_2024.infant.GLU/rs10740096_count_position.png",4,220,900)</f>
        <v/>
      </c>
      <c r="T379">
        <f>IMAGE("https://mitra.stanford.edu/kundaje/oak/projects/neuro-variants/variant_position/credible/roussos_2024/variant_figures/roussos_2024.infant.GLU/rs10740096_profile_position.png",4,220,900)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-0.16411814</v>
      </c>
      <c r="G380" t="n">
        <v>0.0169006247290162</v>
      </c>
      <c r="H380" t="n">
        <v>0.0194352001728758</v>
      </c>
      <c r="I380" t="n">
        <v>0.2048142417059792</v>
      </c>
      <c r="J380" t="n">
        <v>0.0404318878282148</v>
      </c>
      <c r="K380" t="n">
        <v>0.3888914273760303</v>
      </c>
      <c r="L380" t="b">
        <v>1</v>
      </c>
      <c r="M380" t="b">
        <v>0</v>
      </c>
      <c r="N380" t="inlineStr">
        <is>
          <t>ref</t>
        </is>
      </c>
      <c r="O380" t="n">
        <v>-40</v>
      </c>
      <c r="P380" t="n">
        <v>0.00378</v>
      </c>
      <c r="Q380" t="n">
        <v>100</v>
      </c>
      <c r="R380" t="n">
        <v>0.06683</v>
      </c>
      <c r="S380">
        <f>IMAGE("https://mitra.stanford.edu/kundaje/oak/projects/neuro-variants/variant_position/credible/roussos_2024/variant_figures/roussos_2024.infant.GLU/rs10822098_count_position.png",4,220,900)</f>
        <v/>
      </c>
      <c r="T380">
        <f>IMAGE("https://mitra.stanford.edu/kundaje/oak/projects/neuro-variants/variant_position/credible/roussos_2024/variant_figures/roussos_2024.infant.GLU/rs10822098_profile_position.png",4,220,900)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-0.1207762612</v>
      </c>
      <c r="G381" t="n">
        <v>0.0385459844472526</v>
      </c>
      <c r="H381" t="n">
        <v>0.0158330917965374</v>
      </c>
      <c r="I381" t="n">
        <v>0.3202531711166614</v>
      </c>
      <c r="J381" t="n">
        <v>0.2136808571617539</v>
      </c>
      <c r="K381" t="n">
        <v>0.1016567225481249</v>
      </c>
      <c r="L381" t="b">
        <v>0</v>
      </c>
      <c r="M381" t="b">
        <v>0</v>
      </c>
      <c r="N381" t="inlineStr">
        <is>
          <t>ref</t>
        </is>
      </c>
      <c r="O381" t="n">
        <v>-100</v>
      </c>
      <c r="P381" t="n">
        <v>0.011765</v>
      </c>
      <c r="Q381" t="n">
        <v>-35</v>
      </c>
      <c r="R381" t="n">
        <v>0.062</v>
      </c>
      <c r="S381">
        <f>IMAGE("https://mitra.stanford.edu/kundaje/oak/projects/neuro-variants/variant_position/credible/roussos_2024/variant_figures/roussos_2024.infant.GLU/rs10761684_count_position.png",4,220,900)</f>
        <v/>
      </c>
      <c r="T381">
        <f>IMAGE("https://mitra.stanford.edu/kundaje/oak/projects/neuro-variants/variant_position/credible/roussos_2024/variant_figures/roussos_2024.infant.GLU/rs10761684_profile_position.png",4,220,900)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0.0133458289999999</v>
      </c>
      <c r="G382" t="n">
        <v>0.4359712980469739</v>
      </c>
      <c r="H382" t="n">
        <v>0.0268524783944899</v>
      </c>
      <c r="I382" t="n">
        <v>0.0815694569358721</v>
      </c>
      <c r="J382" t="n">
        <v>0.0273099054211953</v>
      </c>
      <c r="K382" t="n">
        <v>0.4913943621722419</v>
      </c>
      <c r="L382" t="b">
        <v>0</v>
      </c>
      <c r="M382" t="b">
        <v>0</v>
      </c>
      <c r="N382" t="inlineStr">
        <is>
          <t>alt</t>
        </is>
      </c>
      <c r="O382" t="n">
        <v>60</v>
      </c>
      <c r="P382" t="n">
        <v>0.08765000000000001</v>
      </c>
      <c r="Q382" t="n">
        <v>85</v>
      </c>
      <c r="R382" t="n">
        <v>0.0318</v>
      </c>
      <c r="S382">
        <f>IMAGE("https://mitra.stanford.edu/kundaje/oak/projects/neuro-variants/variant_position/credible/roussos_2024/variant_figures/roussos_2024.infant.GLU/rs73300318_count_position.png",4,220,900)</f>
        <v/>
      </c>
      <c r="T382">
        <f>IMAGE("https://mitra.stanford.edu/kundaje/oak/projects/neuro-variants/variant_position/credible/roussos_2024/variant_figures/roussos_2024.infant.GLU/rs73300318_profile_position.png",4,220,900)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-0.192216696</v>
      </c>
      <c r="G383" t="n">
        <v>0.0113216396468721</v>
      </c>
      <c r="H383" t="n">
        <v>0.0339449938493533</v>
      </c>
      <c r="I383" t="n">
        <v>0.0380464765443716</v>
      </c>
      <c r="J383" t="n">
        <v>0.4713298353138296</v>
      </c>
      <c r="K383" t="n">
        <v>0.0343723200071063</v>
      </c>
      <c r="L383" t="b">
        <v>1</v>
      </c>
      <c r="M383" t="b">
        <v>0</v>
      </c>
      <c r="N383" t="inlineStr">
        <is>
          <t>ref</t>
        </is>
      </c>
      <c r="O383" t="n">
        <v>-90</v>
      </c>
      <c r="P383" t="n">
        <v>0.02814</v>
      </c>
      <c r="Q383" t="n">
        <v>-80</v>
      </c>
      <c r="R383" t="n">
        <v>0.1431</v>
      </c>
      <c r="S383">
        <f>IMAGE("https://mitra.stanford.edu/kundaje/oak/projects/neuro-variants/variant_position/credible/roussos_2024/variant_figures/roussos_2024.infant.GLU/rs10995385_count_position.png",4,220,900)</f>
        <v/>
      </c>
      <c r="T383">
        <f>IMAGE("https://mitra.stanford.edu/kundaje/oak/projects/neuro-variants/variant_position/credible/roussos_2024/variant_figures/roussos_2024.infant.GLU/rs10995385_profile_position.png",4,220,900)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-0.033405302</v>
      </c>
      <c r="G384" t="n">
        <v>0.2909273610110721</v>
      </c>
      <c r="H384" t="n">
        <v>0.0155501343549377</v>
      </c>
      <c r="I384" t="n">
        <v>0.3352088421251437</v>
      </c>
      <c r="J384" t="n">
        <v>0.0118785687515156</v>
      </c>
      <c r="K384" t="n">
        <v>0.6271925319354166</v>
      </c>
      <c r="L384" t="b">
        <v>0</v>
      </c>
      <c r="M384" t="b">
        <v>0</v>
      </c>
      <c r="N384" t="inlineStr">
        <is>
          <t>ref</t>
        </is>
      </c>
      <c r="O384" t="n">
        <v>40</v>
      </c>
      <c r="P384" t="n">
        <v>0.007385</v>
      </c>
      <c r="Q384" t="n">
        <v>50</v>
      </c>
      <c r="R384" t="n">
        <v>0.0421</v>
      </c>
      <c r="S384">
        <f>IMAGE("https://mitra.stanford.edu/kundaje/oak/projects/neuro-variants/variant_position/credible/roussos_2024/variant_figures/roussos_2024.infant.GLU/rs113899647_count_position.png",4,220,900)</f>
        <v/>
      </c>
      <c r="T384">
        <f>IMAGE("https://mitra.stanford.edu/kundaje/oak/projects/neuro-variants/variant_position/credible/roussos_2024/variant_figures/roussos_2024.infant.GLU/rs113899647_profile_position.png",4,220,900)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0.008386810539999999</v>
      </c>
      <c r="G385" t="n">
        <v>0.3729025253336778</v>
      </c>
      <c r="H385" t="n">
        <v>0.008391699248380201</v>
      </c>
      <c r="I385" t="n">
        <v>0.848010077061269</v>
      </c>
      <c r="J385" t="n">
        <v>0.0267763839590819</v>
      </c>
      <c r="K385" t="n">
        <v>0.4881171626366462</v>
      </c>
      <c r="L385" t="b">
        <v>0</v>
      </c>
      <c r="M385" t="b">
        <v>0</v>
      </c>
      <c r="N385" t="inlineStr">
        <is>
          <t>alt</t>
        </is>
      </c>
      <c r="O385" t="n">
        <v>-80</v>
      </c>
      <c r="P385" t="n">
        <v>0.009169999999999999</v>
      </c>
      <c r="Q385" t="n">
        <v>90</v>
      </c>
      <c r="R385" t="n">
        <v>0.1026</v>
      </c>
      <c r="S385">
        <f>IMAGE("https://mitra.stanford.edu/kundaje/oak/projects/neuro-variants/variant_position/credible/roussos_2024/variant_figures/roussos_2024.infant.GLU/rs59113396_count_position.png",4,220,900)</f>
        <v/>
      </c>
      <c r="T385">
        <f>IMAGE("https://mitra.stanford.edu/kundaje/oak/projects/neuro-variants/variant_position/credible/roussos_2024/variant_figures/roussos_2024.infant.GLU/rs59113396_profile_position.png",4,220,900)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-0.0798880386</v>
      </c>
      <c r="G386" t="n">
        <v>0.07817801040059311</v>
      </c>
      <c r="H386" t="n">
        <v>0.0233526172720467</v>
      </c>
      <c r="I386" t="n">
        <v>0.1230159827176751</v>
      </c>
      <c r="J386" t="n">
        <v>0.09219669745805679</v>
      </c>
      <c r="K386" t="n">
        <v>0.2209083948997392</v>
      </c>
      <c r="L386" t="b">
        <v>0</v>
      </c>
      <c r="M386" t="b">
        <v>0</v>
      </c>
      <c r="N386" t="inlineStr">
        <is>
          <t>ref</t>
        </is>
      </c>
      <c r="O386" t="n">
        <v>100</v>
      </c>
      <c r="P386" t="n">
        <v>0.002037</v>
      </c>
      <c r="Q386" t="n">
        <v>-40</v>
      </c>
      <c r="R386" t="n">
        <v>0.04163</v>
      </c>
      <c r="S386">
        <f>IMAGE("https://mitra.stanford.edu/kundaje/oak/projects/neuro-variants/variant_position/credible/roussos_2024/variant_figures/roussos_2024.infant.GLU/rs16918239_count_position.png",4,220,900)</f>
        <v/>
      </c>
      <c r="T386">
        <f>IMAGE("https://mitra.stanford.edu/kundaje/oak/projects/neuro-variants/variant_position/credible/roussos_2024/variant_figures/roussos_2024.infant.GLU/rs16918239_profile_position.png",4,220,900)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-0.0574181806</v>
      </c>
      <c r="G387" t="n">
        <v>0.1357083030568179</v>
      </c>
      <c r="H387" t="n">
        <v>0.0140450107534072</v>
      </c>
      <c r="I387" t="n">
        <v>0.4127323507649688</v>
      </c>
      <c r="J387" t="n">
        <v>0.1817566524835203</v>
      </c>
      <c r="K387" t="n">
        <v>0.1206385422671922</v>
      </c>
      <c r="L387" t="b">
        <v>0</v>
      </c>
      <c r="M387" t="b">
        <v>0</v>
      </c>
      <c r="N387" t="inlineStr">
        <is>
          <t>ref</t>
        </is>
      </c>
      <c r="O387" t="n">
        <v>-90</v>
      </c>
      <c r="P387" t="n">
        <v>0.008670000000000001</v>
      </c>
      <c r="Q387" t="n">
        <v>-55</v>
      </c>
      <c r="R387" t="n">
        <v>0.05273</v>
      </c>
      <c r="S387">
        <f>IMAGE("https://mitra.stanford.edu/kundaje/oak/projects/neuro-variants/variant_position/credible/roussos_2024/variant_figures/roussos_2024.infant.GLU/rs74557321_count_position.png",4,220,900)</f>
        <v/>
      </c>
      <c r="T387">
        <f>IMAGE("https://mitra.stanford.edu/kundaje/oak/projects/neuro-variants/variant_position/credible/roussos_2024/variant_figures/roussos_2024.infant.GLU/rs74557321_profile_position.png",4,220,900)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-0.0116415732</v>
      </c>
      <c r="G388" t="n">
        <v>0.6037877513777509</v>
      </c>
      <c r="H388" t="n">
        <v>0.0409679924255671</v>
      </c>
      <c r="I388" t="n">
        <v>0.0184502634135234</v>
      </c>
      <c r="J388" t="n">
        <v>0.0251802288410237</v>
      </c>
      <c r="K388" t="n">
        <v>0.4891289235299217</v>
      </c>
      <c r="L388" t="b">
        <v>1</v>
      </c>
      <c r="M388" t="b">
        <v>0</v>
      </c>
      <c r="N388" t="inlineStr">
        <is>
          <t>ref</t>
        </is>
      </c>
      <c r="O388" t="n">
        <v>-15</v>
      </c>
      <c r="P388" t="n">
        <v>0.002808</v>
      </c>
      <c r="Q388" t="n">
        <v>-35</v>
      </c>
      <c r="R388" t="n">
        <v>0.04486</v>
      </c>
      <c r="S388">
        <f>IMAGE("https://mitra.stanford.edu/kundaje/oak/projects/neuro-variants/variant_position/credible/roussos_2024/variant_figures/roussos_2024.infant.GLU/rs112637649_count_position.png",4,220,900)</f>
        <v/>
      </c>
      <c r="T388">
        <f>IMAGE("https://mitra.stanford.edu/kundaje/oak/projects/neuro-variants/variant_position/credible/roussos_2024/variant_figures/roussos_2024.infant.GLU/rs112637649_profile_position.png",4,220,900)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-0.0150011196</v>
      </c>
      <c r="G389" t="n">
        <v>0.416928087126426</v>
      </c>
      <c r="H389" t="n">
        <v>0.0695593410092431</v>
      </c>
      <c r="I389" t="n">
        <v>0.0014250374576972</v>
      </c>
      <c r="J389" t="n">
        <v>0.0147534116713331</v>
      </c>
      <c r="K389" t="n">
        <v>0.5924642767443589</v>
      </c>
      <c r="L389" t="b">
        <v>1</v>
      </c>
      <c r="M389" t="b">
        <v>0</v>
      </c>
      <c r="N389" t="inlineStr">
        <is>
          <t>ref</t>
        </is>
      </c>
      <c r="O389" t="n">
        <v>-95</v>
      </c>
      <c r="P389" t="n">
        <v>0.0708</v>
      </c>
      <c r="Q389" t="n">
        <v>-75</v>
      </c>
      <c r="R389" t="n">
        <v>0.10706</v>
      </c>
      <c r="S389">
        <f>IMAGE("https://mitra.stanford.edu/kundaje/oak/projects/neuro-variants/variant_position/credible/roussos_2024/variant_figures/roussos_2024.infant.GLU/rs76032436_count_position.png",4,220,900)</f>
        <v/>
      </c>
      <c r="T389">
        <f>IMAGE("https://mitra.stanford.edu/kundaje/oak/projects/neuro-variants/variant_position/credible/roussos_2024/variant_figures/roussos_2024.infant.GLU/rs76032436_profile_position.png",4,220,900)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-0.0748163542</v>
      </c>
      <c r="G390" t="n">
        <v>0.087640710182377</v>
      </c>
      <c r="H390" t="n">
        <v>0.0582921878554073</v>
      </c>
      <c r="I390" t="n">
        <v>0.0035700633096472</v>
      </c>
      <c r="J390" t="n">
        <v>0.0509005930465838</v>
      </c>
      <c r="K390" t="n">
        <v>0.3405742894251223</v>
      </c>
      <c r="L390" t="b">
        <v>1</v>
      </c>
      <c r="M390" t="b">
        <v>1</v>
      </c>
      <c r="N390" t="inlineStr">
        <is>
          <t>ref</t>
        </is>
      </c>
      <c r="O390" t="n">
        <v>-10</v>
      </c>
      <c r="P390" t="n">
        <v>0.001587</v>
      </c>
      <c r="Q390" t="n">
        <v>-15</v>
      </c>
      <c r="R390" t="n">
        <v>0.00903</v>
      </c>
      <c r="S390">
        <f>IMAGE("https://mitra.stanford.edu/kundaje/oak/projects/neuro-variants/variant_position/credible/roussos_2024/variant_figures/roussos_2024.infant.GLU/rs76460998_count_position.png",4,220,900)</f>
        <v/>
      </c>
      <c r="T390">
        <f>IMAGE("https://mitra.stanford.edu/kundaje/oak/projects/neuro-variants/variant_position/credible/roussos_2024/variant_figures/roussos_2024.infant.GLU/rs76460998_profile_position.png",4,220,900)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0.0640846442</v>
      </c>
      <c r="G391" t="n">
        <v>0.1103510154505019</v>
      </c>
      <c r="H391" t="n">
        <v>0.0165250279524655</v>
      </c>
      <c r="I391" t="n">
        <v>0.2934190871541047</v>
      </c>
      <c r="J391" t="n">
        <v>0.0267841001785753</v>
      </c>
      <c r="K391" t="n">
        <v>0.4800773395015019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0.010925</v>
      </c>
      <c r="Q391" t="n">
        <v>-10</v>
      </c>
      <c r="R391" t="n">
        <v>0.02197</v>
      </c>
      <c r="S391">
        <f>IMAGE("https://mitra.stanford.edu/kundaje/oak/projects/neuro-variants/variant_position/credible/roussos_2024/variant_figures/roussos_2024.infant.GLU/rs58429288_count_position.png",4,220,900)</f>
        <v/>
      </c>
      <c r="T391">
        <f>IMAGE("https://mitra.stanford.edu/kundaje/oak/projects/neuro-variants/variant_position/credible/roussos_2024/variant_figures/roussos_2024.infant.GLU/rs58429288_profile_position.png",4,220,900)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-0.0323865485999999</v>
      </c>
      <c r="G392" t="n">
        <v>0.2950707806348387</v>
      </c>
      <c r="H392" t="n">
        <v>0.009639966788767201</v>
      </c>
      <c r="I392" t="n">
        <v>0.7756969582523424</v>
      </c>
      <c r="J392" t="n">
        <v>0.3059833770585771</v>
      </c>
      <c r="K392" t="n">
        <v>0.06931317887285859</v>
      </c>
      <c r="L392" t="b">
        <v>0</v>
      </c>
      <c r="M392" t="b">
        <v>0</v>
      </c>
      <c r="N392" t="inlineStr">
        <is>
          <t>ref</t>
        </is>
      </c>
      <c r="O392" t="n">
        <v>65</v>
      </c>
      <c r="P392" t="n">
        <v>0.0127</v>
      </c>
      <c r="Q392" t="n">
        <v>-95</v>
      </c>
      <c r="R392" t="n">
        <v>0.10425</v>
      </c>
      <c r="S392">
        <f>IMAGE("https://mitra.stanford.edu/kundaje/oak/projects/neuro-variants/variant_position/credible/roussos_2024/variant_figures/roussos_2024.infant.GLU/rs112188494_count_position.png",4,220,900)</f>
        <v/>
      </c>
      <c r="T392">
        <f>IMAGE("https://mitra.stanford.edu/kundaje/oak/projects/neuro-variants/variant_position/credible/roussos_2024/variant_figures/roussos_2024.infant.GLU/rs112188494_profile_position.png",4,220,900)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-0.431387622</v>
      </c>
      <c r="G393" t="n">
        <v>0.0007275234668774</v>
      </c>
      <c r="H393" t="n">
        <v>0.098516043578598</v>
      </c>
      <c r="I393" t="n">
        <v>0.0002979474043832</v>
      </c>
      <c r="J393" t="n">
        <v>0.0773462818845212</v>
      </c>
      <c r="K393" t="n">
        <v>0.3036508503248901</v>
      </c>
      <c r="L393" t="b">
        <v>1</v>
      </c>
      <c r="M393" t="b">
        <v>1</v>
      </c>
      <c r="N393" t="inlineStr">
        <is>
          <t>ref</t>
        </is>
      </c>
      <c r="O393" t="n">
        <v>-80</v>
      </c>
      <c r="P393" t="n">
        <v>0.03802</v>
      </c>
      <c r="Q393" t="n">
        <v>45</v>
      </c>
      <c r="R393" t="n">
        <v>0.03198</v>
      </c>
      <c r="S393">
        <f>IMAGE("https://mitra.stanford.edu/kundaje/oak/projects/neuro-variants/variant_position/credible/roussos_2024/variant_figures/roussos_2024.infant.GLU/rs78005057_count_position.png",4,220,900)</f>
        <v/>
      </c>
      <c r="T393">
        <f>IMAGE("https://mitra.stanford.edu/kundaje/oak/projects/neuro-variants/variant_position/credible/roussos_2024/variant_figures/roussos_2024.infant.GLU/rs78005057_profile_position.png",4,220,900)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-0.0159378352</v>
      </c>
      <c r="G394" t="n">
        <v>0.5294005635483182</v>
      </c>
      <c r="H394" t="n">
        <v>0.0096293972569337</v>
      </c>
      <c r="I394" t="n">
        <v>0.7730770230028831</v>
      </c>
      <c r="J394" t="n">
        <v>0.0151822130117506</v>
      </c>
      <c r="K394" t="n">
        <v>0.6133363491527731</v>
      </c>
      <c r="L394" t="b">
        <v>0</v>
      </c>
      <c r="M394" t="b">
        <v>0</v>
      </c>
      <c r="N394" t="inlineStr">
        <is>
          <t>ref</t>
        </is>
      </c>
      <c r="O394" t="n">
        <v>40</v>
      </c>
      <c r="P394" t="n">
        <v>0.007122</v>
      </c>
      <c r="Q394" t="n">
        <v>40</v>
      </c>
      <c r="R394" t="n">
        <v>0.0925</v>
      </c>
      <c r="S394">
        <f>IMAGE("https://mitra.stanford.edu/kundaje/oak/projects/neuro-variants/variant_position/credible/roussos_2024/variant_figures/roussos_2024.infant.GLU/rs10822313_count_position.png",4,220,900)</f>
        <v/>
      </c>
      <c r="T394">
        <f>IMAGE("https://mitra.stanford.edu/kundaje/oak/projects/neuro-variants/variant_position/credible/roussos_2024/variant_figures/roussos_2024.infant.GLU/rs10822313_profile_position.png",4,220,900)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-0.0985187486</v>
      </c>
      <c r="G395" t="n">
        <v>0.0549720052581965</v>
      </c>
      <c r="H395" t="n">
        <v>0.0172047048223541</v>
      </c>
      <c r="I395" t="n">
        <v>0.2754081000593449</v>
      </c>
      <c r="J395" t="n">
        <v>0.2601622610727749</v>
      </c>
      <c r="K395" t="n">
        <v>0.0823397958607974</v>
      </c>
      <c r="L395" t="b">
        <v>0</v>
      </c>
      <c r="M395" t="b">
        <v>0</v>
      </c>
      <c r="N395" t="inlineStr">
        <is>
          <t>ref</t>
        </is>
      </c>
      <c r="O395" t="n">
        <v>100</v>
      </c>
      <c r="P395" t="n">
        <v>0.002764</v>
      </c>
      <c r="Q395" t="n">
        <v>-30</v>
      </c>
      <c r="R395" t="n">
        <v>0.012695</v>
      </c>
      <c r="S395">
        <f>IMAGE("https://mitra.stanford.edu/kundaje/oak/projects/neuro-variants/variant_position/credible/roussos_2024/variant_figures/roussos_2024.infant.GLU/rs3999058_count_position.png",4,220,900)</f>
        <v/>
      </c>
      <c r="T395">
        <f>IMAGE("https://mitra.stanford.edu/kundaje/oak/projects/neuro-variants/variant_position/credible/roussos_2024/variant_figures/roussos_2024.infant.GLU/rs3999058_profile_position.png",4,220,900)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-0.0743138841999999</v>
      </c>
      <c r="G396" t="n">
        <v>0.0895843601096165</v>
      </c>
      <c r="H396" t="n">
        <v>0.0116994069250012</v>
      </c>
      <c r="I396" t="n">
        <v>0.5764665162821928</v>
      </c>
      <c r="J396" t="n">
        <v>0.1578176326638594</v>
      </c>
      <c r="K396" t="n">
        <v>0.1398981127323604</v>
      </c>
      <c r="L396" t="b">
        <v>0</v>
      </c>
      <c r="M396" t="b">
        <v>0</v>
      </c>
      <c r="N396" t="inlineStr">
        <is>
          <t>ref</t>
        </is>
      </c>
      <c r="O396" t="n">
        <v>90</v>
      </c>
      <c r="P396" t="n">
        <v>0.007904</v>
      </c>
      <c r="Q396" t="n">
        <v>20</v>
      </c>
      <c r="R396" t="n">
        <v>0.03613</v>
      </c>
      <c r="S396">
        <f>IMAGE("https://mitra.stanford.edu/kundaje/oak/projects/neuro-variants/variant_position/credible/roussos_2024/variant_figures/roussos_2024.infant.GLU/rs2394090_count_position.png",4,220,900)</f>
        <v/>
      </c>
      <c r="T396">
        <f>IMAGE("https://mitra.stanford.edu/kundaje/oak/projects/neuro-variants/variant_position/credible/roussos_2024/variant_figures/roussos_2024.infant.GLU/rs2394090_profile_position.png",4,220,900)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0.1137962179999999</v>
      </c>
      <c r="G397" t="n">
        <v>0.0403275700719138</v>
      </c>
      <c r="H397" t="n">
        <v>0.0275138006335367</v>
      </c>
      <c r="I397" t="n">
        <v>0.07785713483409561</v>
      </c>
      <c r="J397" t="n">
        <v>0.014666328622765</v>
      </c>
      <c r="K397" t="n">
        <v>0.6031655730089739</v>
      </c>
      <c r="L397" t="b">
        <v>0</v>
      </c>
      <c r="M397" t="b">
        <v>0</v>
      </c>
      <c r="N397" t="inlineStr">
        <is>
          <t>alt</t>
        </is>
      </c>
      <c r="O397" t="n">
        <v>85</v>
      </c>
      <c r="P397" t="n">
        <v>0.010666</v>
      </c>
      <c r="Q397" t="n">
        <v>45</v>
      </c>
      <c r="R397" t="n">
        <v>0.06444999999999999</v>
      </c>
      <c r="S397">
        <f>IMAGE("https://mitra.stanford.edu/kundaje/oak/projects/neuro-variants/variant_position/credible/roussos_2024/variant_figures/roussos_2024.infant.GLU/rs10822315_count_position.png",4,220,900)</f>
        <v/>
      </c>
      <c r="T397">
        <f>IMAGE("https://mitra.stanford.edu/kundaje/oak/projects/neuro-variants/variant_position/credible/roussos_2024/variant_figures/roussos_2024.infant.GLU/rs10822315_profile_position.png",4,220,900)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-0.0598864415999999</v>
      </c>
      <c r="G398" t="n">
        <v>0.1270944890937337</v>
      </c>
      <c r="H398" t="n">
        <v>0.0114069178860532</v>
      </c>
      <c r="I398" t="n">
        <v>0.6087023010983621</v>
      </c>
      <c r="J398" t="n">
        <v>0.0246621398178971</v>
      </c>
      <c r="K398" t="n">
        <v>0.5183621747019557</v>
      </c>
      <c r="L398" t="b">
        <v>0</v>
      </c>
      <c r="M398" t="b">
        <v>0</v>
      </c>
      <c r="N398" t="inlineStr">
        <is>
          <t>ref</t>
        </is>
      </c>
      <c r="O398" t="n">
        <v>-5</v>
      </c>
      <c r="P398" t="n">
        <v>0.0003242</v>
      </c>
      <c r="Q398" t="n">
        <v>95</v>
      </c>
      <c r="R398" t="n">
        <v>0.06660000000000001</v>
      </c>
      <c r="S398">
        <f>IMAGE("https://mitra.stanford.edu/kundaje/oak/projects/neuro-variants/variant_position/credible/roussos_2024/variant_figures/roussos_2024.infant.GLU/rs56023698_count_position.png",4,220,900)</f>
        <v/>
      </c>
      <c r="T398">
        <f>IMAGE("https://mitra.stanford.edu/kundaje/oak/projects/neuro-variants/variant_position/credible/roussos_2024/variant_figures/roussos_2024.infant.GLU/rs56023698_profile_position.png",4,220,900)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-0.009595016947999999</v>
      </c>
      <c r="G399" t="n">
        <v>0.6641576299498035</v>
      </c>
      <c r="H399" t="n">
        <v>0.036756794104238</v>
      </c>
      <c r="I399" t="n">
        <v>0.028534871130356</v>
      </c>
      <c r="J399" t="n">
        <v>0.0122257986287175</v>
      </c>
      <c r="K399" t="n">
        <v>0.6300330391763306</v>
      </c>
      <c r="L399" t="b">
        <v>0</v>
      </c>
      <c r="M399" t="b">
        <v>0</v>
      </c>
      <c r="N399" t="inlineStr">
        <is>
          <t>ref</t>
        </is>
      </c>
      <c r="O399" t="n">
        <v>-80</v>
      </c>
      <c r="P399" t="n">
        <v>0.00421</v>
      </c>
      <c r="Q399" t="n">
        <v>45</v>
      </c>
      <c r="R399" t="n">
        <v>0.03934</v>
      </c>
      <c r="S399">
        <f>IMAGE("https://mitra.stanford.edu/kundaje/oak/projects/neuro-variants/variant_position/credible/roussos_2024/variant_figures/roussos_2024.infant.GLU/rs76523509_count_position.png",4,220,900)</f>
        <v/>
      </c>
      <c r="T399">
        <f>IMAGE("https://mitra.stanford.edu/kundaje/oak/projects/neuro-variants/variant_position/credible/roussos_2024/variant_figures/roussos_2024.infant.GLU/rs76523509_profile_position.png",4,220,900)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-0.0129901688999999</v>
      </c>
      <c r="G400" t="n">
        <v>0.4209140355314518</v>
      </c>
      <c r="H400" t="n">
        <v>0.0150598646062428</v>
      </c>
      <c r="I400" t="n">
        <v>0.3588917842363157</v>
      </c>
      <c r="J400" t="n">
        <v>0.0199056416587666</v>
      </c>
      <c r="K400" t="n">
        <v>0.5550583833896813</v>
      </c>
      <c r="L400" t="b">
        <v>0</v>
      </c>
      <c r="M400" t="b">
        <v>0</v>
      </c>
      <c r="N400" t="inlineStr">
        <is>
          <t>ref</t>
        </is>
      </c>
      <c r="O400" t="n">
        <v>-100</v>
      </c>
      <c r="P400" t="n">
        <v>0.007233</v>
      </c>
      <c r="Q400" t="n">
        <v>-90</v>
      </c>
      <c r="R400" t="n">
        <v>0.1371</v>
      </c>
      <c r="S400">
        <f>IMAGE("https://mitra.stanford.edu/kundaje/oak/projects/neuro-variants/variant_position/credible/roussos_2024/variant_figures/roussos_2024.infant.GLU/rs60020658_count_position.png",4,220,900)</f>
        <v/>
      </c>
      <c r="T400">
        <f>IMAGE("https://mitra.stanford.edu/kundaje/oak/projects/neuro-variants/variant_position/credible/roussos_2024/variant_figures/roussos_2024.infant.GLU/rs60020658_profile_position.png",4,220,900)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-0.0324967158</v>
      </c>
      <c r="G401" t="n">
        <v>0.2966927717281399</v>
      </c>
      <c r="H401" t="n">
        <v>0.0613536813652419</v>
      </c>
      <c r="I401" t="n">
        <v>0.0027382095543141</v>
      </c>
      <c r="J401" t="n">
        <v>0.0317731872395775</v>
      </c>
      <c r="K401" t="n">
        <v>0.4362429914323615</v>
      </c>
      <c r="L401" t="b">
        <v>1</v>
      </c>
      <c r="M401" t="b">
        <v>0</v>
      </c>
      <c r="N401" t="inlineStr">
        <is>
          <t>ref</t>
        </is>
      </c>
      <c r="O401" t="n">
        <v>100</v>
      </c>
      <c r="P401" t="n">
        <v>0.02866</v>
      </c>
      <c r="Q401" t="n">
        <v>100</v>
      </c>
      <c r="R401" t="n">
        <v>0.0985</v>
      </c>
      <c r="S401">
        <f>IMAGE("https://mitra.stanford.edu/kundaje/oak/projects/neuro-variants/variant_position/credible/roussos_2024/variant_figures/roussos_2024.infant.GLU/rs4919647_count_position.png",4,220,900)</f>
        <v/>
      </c>
      <c r="T401">
        <f>IMAGE("https://mitra.stanford.edu/kundaje/oak/projects/neuro-variants/variant_position/credible/roussos_2024/variant_figures/roussos_2024.infant.GLU/rs4919647_profile_position.png",4,220,900)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0.02365014264</v>
      </c>
      <c r="G402" t="n">
        <v>0.3965653906427117</v>
      </c>
      <c r="H402" t="n">
        <v>0.0281514696595811</v>
      </c>
      <c r="I402" t="n">
        <v>0.0710625923317809</v>
      </c>
      <c r="J402" t="n">
        <v>0.0292025838312131</v>
      </c>
      <c r="K402" t="n">
        <v>0.4673370435249828</v>
      </c>
      <c r="L402" t="b">
        <v>0</v>
      </c>
      <c r="M402" t="b">
        <v>0</v>
      </c>
      <c r="N402" t="inlineStr">
        <is>
          <t>alt</t>
        </is>
      </c>
      <c r="O402" t="n">
        <v>80</v>
      </c>
      <c r="P402" t="n">
        <v>0.01175</v>
      </c>
      <c r="Q402" t="n">
        <v>-85</v>
      </c>
      <c r="R402" t="n">
        <v>0.03967</v>
      </c>
      <c r="S402">
        <f>IMAGE("https://mitra.stanford.edu/kundaje/oak/projects/neuro-variants/variant_position/credible/roussos_2024/variant_figures/roussos_2024.infant.GLU/rs4919652_count_position.png",4,220,900)</f>
        <v/>
      </c>
      <c r="T402">
        <f>IMAGE("https://mitra.stanford.edu/kundaje/oak/projects/neuro-variants/variant_position/credible/roussos_2024/variant_figures/roussos_2024.infant.GLU/rs4919652_profile_position.png",4,220,900)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-0.0197630952</v>
      </c>
      <c r="G403" t="n">
        <v>0.4509739603651915</v>
      </c>
      <c r="H403" t="n">
        <v>0.0273203678401847</v>
      </c>
      <c r="I403" t="n">
        <v>0.07724668142700521</v>
      </c>
      <c r="J403" t="n">
        <v>0.07151061531338861</v>
      </c>
      <c r="K403" t="n">
        <v>0.2724232255138491</v>
      </c>
      <c r="L403" t="b">
        <v>0</v>
      </c>
      <c r="M403" t="b">
        <v>0</v>
      </c>
      <c r="N403" t="inlineStr">
        <is>
          <t>ref</t>
        </is>
      </c>
      <c r="O403" t="n">
        <v>65</v>
      </c>
      <c r="P403" t="n">
        <v>0.009950000000000001</v>
      </c>
      <c r="Q403" t="n">
        <v>65</v>
      </c>
      <c r="R403" t="n">
        <v>0.1239</v>
      </c>
      <c r="S403">
        <f>IMAGE("https://mitra.stanford.edu/kundaje/oak/projects/neuro-variants/variant_position/credible/roussos_2024/variant_figures/roussos_2024.infant.GLU/rs2145307_count_position.png",4,220,900)</f>
        <v/>
      </c>
      <c r="T403">
        <f>IMAGE("https://mitra.stanford.edu/kundaje/oak/projects/neuro-variants/variant_position/credible/roussos_2024/variant_figures/roussos_2024.infant.GLU/rs2145307_profile_position.png",4,220,900)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-0.0266090198</v>
      </c>
      <c r="G404" t="n">
        <v>0.3583685095362423</v>
      </c>
      <c r="H404" t="n">
        <v>0.0613592378527225</v>
      </c>
      <c r="I404" t="n">
        <v>0.0027723793416681</v>
      </c>
      <c r="J404" t="n">
        <v>0.0260212967658016</v>
      </c>
      <c r="K404" t="n">
        <v>0.4778118543234418</v>
      </c>
      <c r="L404" t="b">
        <v>1</v>
      </c>
      <c r="M404" t="b">
        <v>0</v>
      </c>
      <c r="N404" t="inlineStr">
        <is>
          <t>ref</t>
        </is>
      </c>
      <c r="O404" t="n">
        <v>20</v>
      </c>
      <c r="P404" t="n">
        <v>0.006245</v>
      </c>
      <c r="Q404" t="n">
        <v>100</v>
      </c>
      <c r="R404" t="n">
        <v>0.254</v>
      </c>
      <c r="S404">
        <f>IMAGE("https://mitra.stanford.edu/kundaje/oak/projects/neuro-variants/variant_position/credible/roussos_2024/variant_figures/roussos_2024.infant.GLU/rs10883740_count_position.png",4,220,900)</f>
        <v/>
      </c>
      <c r="T404">
        <f>IMAGE("https://mitra.stanford.edu/kundaje/oak/projects/neuro-variants/variant_position/credible/roussos_2024/variant_figures/roussos_2024.infant.GLU/rs10883740_profile_position.png",4,220,900)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-0.0163741432</v>
      </c>
      <c r="G405" t="n">
        <v>0.4349296792739368</v>
      </c>
      <c r="H405" t="n">
        <v>0.0353508321617924</v>
      </c>
      <c r="I405" t="n">
        <v>0.0326822692254523</v>
      </c>
      <c r="J405" t="n">
        <v>0.3692729116603099</v>
      </c>
      <c r="K405" t="n">
        <v>0.0506862736356515</v>
      </c>
      <c r="L405" t="b">
        <v>0</v>
      </c>
      <c r="M405" t="b">
        <v>0</v>
      </c>
      <c r="N405" t="inlineStr">
        <is>
          <t>ref</t>
        </is>
      </c>
      <c r="O405" t="n">
        <v>15</v>
      </c>
      <c r="P405" t="n">
        <v>0.0007324</v>
      </c>
      <c r="Q405" t="n">
        <v>-20</v>
      </c>
      <c r="R405" t="n">
        <v>0.02148</v>
      </c>
      <c r="S405">
        <f>IMAGE("https://mitra.stanford.edu/kundaje/oak/projects/neuro-variants/variant_position/credible/roussos_2024/variant_figures/roussos_2024.infant.GLU/rs74558061_count_position.png",4,220,900)</f>
        <v/>
      </c>
      <c r="T405">
        <f>IMAGE("https://mitra.stanford.edu/kundaje/oak/projects/neuro-variants/variant_position/credible/roussos_2024/variant_figures/roussos_2024.infant.GLU/rs74558061_profile_position.png",4,220,900)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-0.0158474187</v>
      </c>
      <c r="G406" t="n">
        <v>0.5222152694543083</v>
      </c>
      <c r="H406" t="n">
        <v>0.0368805439578197</v>
      </c>
      <c r="I406" t="n">
        <v>0.0278115591731518</v>
      </c>
      <c r="J406" t="n">
        <v>0.0240415353072157</v>
      </c>
      <c r="K406" t="n">
        <v>0.4996526040057727</v>
      </c>
      <c r="L406" t="b">
        <v>0</v>
      </c>
      <c r="M406" t="b">
        <v>0</v>
      </c>
      <c r="N406" t="inlineStr">
        <is>
          <t>ref</t>
        </is>
      </c>
      <c r="O406" t="n">
        <v>-45</v>
      </c>
      <c r="P406" t="n">
        <v>0.006958</v>
      </c>
      <c r="Q406" t="n">
        <v>100</v>
      </c>
      <c r="R406" t="n">
        <v>0.10535</v>
      </c>
      <c r="S406">
        <f>IMAGE("https://mitra.stanford.edu/kundaje/oak/projects/neuro-variants/variant_position/credible/roussos_2024/variant_figures/roussos_2024.infant.GLU/rs10883761_count_position.png",4,220,900)</f>
        <v/>
      </c>
      <c r="T406">
        <f>IMAGE("https://mitra.stanford.edu/kundaje/oak/projects/neuro-variants/variant_position/credible/roussos_2024/variant_figures/roussos_2024.infant.GLU/rs10883761_profile_position.png",4,220,900)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0.00982878152</v>
      </c>
      <c r="G407" t="n">
        <v>0.6469101896922111</v>
      </c>
      <c r="H407" t="n">
        <v>0.0072756639483308</v>
      </c>
      <c r="I407" t="n">
        <v>0.95324913871729</v>
      </c>
      <c r="J407" t="n">
        <v>0.0276703631032429</v>
      </c>
      <c r="K407" t="n">
        <v>0.4730397213281178</v>
      </c>
      <c r="L407" t="b">
        <v>0</v>
      </c>
      <c r="M407" t="b">
        <v>0</v>
      </c>
      <c r="N407" t="inlineStr">
        <is>
          <t>alt</t>
        </is>
      </c>
      <c r="O407" t="n">
        <v>90</v>
      </c>
      <c r="P407" t="n">
        <v>0.002636</v>
      </c>
      <c r="Q407" t="n">
        <v>55</v>
      </c>
      <c r="R407" t="n">
        <v>0.0399</v>
      </c>
      <c r="S407">
        <f>IMAGE("https://mitra.stanford.edu/kundaje/oak/projects/neuro-variants/variant_position/credible/roussos_2024/variant_figures/roussos_2024.infant.GLU/rs884825_count_position.png",4,220,900)</f>
        <v/>
      </c>
      <c r="T407">
        <f>IMAGE("https://mitra.stanford.edu/kundaje/oak/projects/neuro-variants/variant_position/credible/roussos_2024/variant_figures/roussos_2024.infant.GLU/rs884825_profile_position.png",4,220,900)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0.01627817188</v>
      </c>
      <c r="G408" t="n">
        <v>0.4990329920999466</v>
      </c>
      <c r="H408" t="n">
        <v>0.041499983101843</v>
      </c>
      <c r="I408" t="n">
        <v>0.0174821301880618</v>
      </c>
      <c r="J408" t="n">
        <v>0.3847351132079631</v>
      </c>
      <c r="K408" t="n">
        <v>0.0480174004816346</v>
      </c>
      <c r="L408" t="b">
        <v>1</v>
      </c>
      <c r="M408" t="b">
        <v>0</v>
      </c>
      <c r="N408" t="inlineStr">
        <is>
          <t>alt</t>
        </is>
      </c>
      <c r="O408" t="n">
        <v>95</v>
      </c>
      <c r="P408" t="n">
        <v>0.07043000000000001</v>
      </c>
      <c r="Q408" t="n">
        <v>95</v>
      </c>
      <c r="R408" t="n">
        <v>0.2856</v>
      </c>
      <c r="S408">
        <f>IMAGE("https://mitra.stanford.edu/kundaje/oak/projects/neuro-variants/variant_position/credible/roussos_2024/variant_figures/roussos_2024.infant.GLU/rs4919669_count_position.png",4,220,900)</f>
        <v/>
      </c>
      <c r="T408">
        <f>IMAGE("https://mitra.stanford.edu/kundaje/oak/projects/neuro-variants/variant_position/credible/roussos_2024/variant_figures/roussos_2024.infant.GLU/rs4919669_profile_position.png",4,220,900)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-0.0550878903999999</v>
      </c>
      <c r="G409" t="n">
        <v>0.1586539618308248</v>
      </c>
      <c r="H409" t="n">
        <v>0.008920462487252499</v>
      </c>
      <c r="I409" t="n">
        <v>0.8097605533858271</v>
      </c>
      <c r="J409" t="n">
        <v>0.3393483101479309</v>
      </c>
      <c r="K409" t="n">
        <v>0.0570893115943654</v>
      </c>
      <c r="L409" t="b">
        <v>0</v>
      </c>
      <c r="M409" t="b">
        <v>0</v>
      </c>
      <c r="N409" t="inlineStr">
        <is>
          <t>ref</t>
        </is>
      </c>
      <c r="O409" t="n">
        <v>-95</v>
      </c>
      <c r="P409" t="n">
        <v>0.02069</v>
      </c>
      <c r="Q409" t="n">
        <v>65</v>
      </c>
      <c r="R409" t="n">
        <v>0.08234</v>
      </c>
      <c r="S409">
        <f>IMAGE("https://mitra.stanford.edu/kundaje/oak/projects/neuro-variants/variant_position/credible/roussos_2024/variant_figures/roussos_2024.infant.GLU/rs999867_count_position.png",4,220,900)</f>
        <v/>
      </c>
      <c r="T409">
        <f>IMAGE("https://mitra.stanford.edu/kundaje/oak/projects/neuro-variants/variant_position/credible/roussos_2024/variant_figures/roussos_2024.infant.GLU/rs999867_profile_position.png",4,220,900)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0.0429622282</v>
      </c>
      <c r="G410" t="n">
        <v>0.2018182080958067</v>
      </c>
      <c r="H410" t="n">
        <v>0.0545189373306193</v>
      </c>
      <c r="I410" t="n">
        <v>0.0051597184820954</v>
      </c>
      <c r="J410" t="n">
        <v>0.0825580369937608</v>
      </c>
      <c r="K410" t="n">
        <v>0.2440144978749879</v>
      </c>
      <c r="L410" t="b">
        <v>1</v>
      </c>
      <c r="M410" t="b">
        <v>1</v>
      </c>
      <c r="N410" t="inlineStr">
        <is>
          <t>alt</t>
        </is>
      </c>
      <c r="O410" t="n">
        <v>75</v>
      </c>
      <c r="P410" t="n">
        <v>0.00464</v>
      </c>
      <c r="Q410" t="n">
        <v>75</v>
      </c>
      <c r="R410" t="n">
        <v>0.09375</v>
      </c>
      <c r="S410">
        <f>IMAGE("https://mitra.stanford.edu/kundaje/oak/projects/neuro-variants/variant_position/credible/roussos_2024/variant_figures/roussos_2024.infant.GLU/rs10786709_count_position.png",4,220,900)</f>
        <v/>
      </c>
      <c r="T410">
        <f>IMAGE("https://mitra.stanford.edu/kundaje/oak/projects/neuro-variants/variant_position/credible/roussos_2024/variant_figures/roussos_2024.infant.GLU/rs10786709_profile_position.png",4,220,900)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-0.0191350204</v>
      </c>
      <c r="G411" t="n">
        <v>0.4649390760226574</v>
      </c>
      <c r="H411" t="n">
        <v>0.0399637456541763</v>
      </c>
      <c r="I411" t="n">
        <v>0.0204315009324629</v>
      </c>
      <c r="J411" t="n">
        <v>0.0069490068123194</v>
      </c>
      <c r="K411" t="n">
        <v>0.7146281749277825</v>
      </c>
      <c r="L411" t="b">
        <v>0</v>
      </c>
      <c r="M411" t="b">
        <v>0</v>
      </c>
      <c r="N411" t="inlineStr">
        <is>
          <t>ref</t>
        </is>
      </c>
      <c r="O411" t="n">
        <v>-100</v>
      </c>
      <c r="P411" t="n">
        <v>0.02551</v>
      </c>
      <c r="Q411" t="n">
        <v>80</v>
      </c>
      <c r="R411" t="n">
        <v>0.007477</v>
      </c>
      <c r="S411">
        <f>IMAGE("https://mitra.stanford.edu/kundaje/oak/projects/neuro-variants/variant_position/credible/roussos_2024/variant_figures/roussos_2024.infant.GLU/rs4363528_count_position.png",4,220,900)</f>
        <v/>
      </c>
      <c r="T411">
        <f>IMAGE("https://mitra.stanford.edu/kundaje/oak/projects/neuro-variants/variant_position/credible/roussos_2024/variant_figures/roussos_2024.infant.GLU/rs4363528_profile_position.png",4,220,900)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0.0160248097199999</v>
      </c>
      <c r="G412" t="n">
        <v>0.5119155488478064</v>
      </c>
      <c r="H412" t="n">
        <v>0.0113161500770494</v>
      </c>
      <c r="I412" t="n">
        <v>0.6184353361171029</v>
      </c>
      <c r="J412" t="n">
        <v>0.0103661897308141</v>
      </c>
      <c r="K412" t="n">
        <v>0.6627363317862118</v>
      </c>
      <c r="L412" t="b">
        <v>0</v>
      </c>
      <c r="M412" t="b">
        <v>0</v>
      </c>
      <c r="N412" t="inlineStr">
        <is>
          <t>alt</t>
        </is>
      </c>
      <c r="O412" t="n">
        <v>-100</v>
      </c>
      <c r="P412" t="n">
        <v>0.001038</v>
      </c>
      <c r="Q412" t="n">
        <v>95</v>
      </c>
      <c r="R412" t="n">
        <v>0.1523</v>
      </c>
      <c r="S412">
        <f>IMAGE("https://mitra.stanford.edu/kundaje/oak/projects/neuro-variants/variant_position/credible/roussos_2024/variant_figures/roussos_2024.infant.GLU/rs11191453_count_position.png",4,220,900)</f>
        <v/>
      </c>
      <c r="T412">
        <f>IMAGE("https://mitra.stanford.edu/kundaje/oak/projects/neuro-variants/variant_position/credible/roussos_2024/variant_figures/roussos_2024.infant.GLU/rs11191453_profile_position.png",4,220,900)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0.0720338648</v>
      </c>
      <c r="G413" t="n">
        <v>0.0925082822464198</v>
      </c>
      <c r="H413" t="n">
        <v>0.0257653522100542</v>
      </c>
      <c r="I413" t="n">
        <v>0.0965391120601701</v>
      </c>
      <c r="J413" t="n">
        <v>0.0064959544963513</v>
      </c>
      <c r="K413" t="n">
        <v>0.7205212407202072</v>
      </c>
      <c r="L413" t="b">
        <v>0</v>
      </c>
      <c r="M413" t="b">
        <v>0</v>
      </c>
      <c r="N413" t="inlineStr">
        <is>
          <t>alt</t>
        </is>
      </c>
      <c r="O413" t="n">
        <v>75</v>
      </c>
      <c r="P413" t="n">
        <v>0.01425</v>
      </c>
      <c r="Q413" t="n">
        <v>-80</v>
      </c>
      <c r="R413" t="n">
        <v>0.042</v>
      </c>
      <c r="S413">
        <f>IMAGE("https://mitra.stanford.edu/kundaje/oak/projects/neuro-variants/variant_position/credible/roussos_2024/variant_figures/roussos_2024.infant.GLU/rs10883799_count_position.png",4,220,900)</f>
        <v/>
      </c>
      <c r="T413">
        <f>IMAGE("https://mitra.stanford.edu/kundaje/oak/projects/neuro-variants/variant_position/credible/roussos_2024/variant_figures/roussos_2024.infant.GLU/rs10883799_profile_position.png",4,220,900)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-0.00350410246</v>
      </c>
      <c r="G414" t="n">
        <v>0.8343781200123968</v>
      </c>
      <c r="H414" t="n">
        <v>0.0076462874088903</v>
      </c>
      <c r="I414" t="n">
        <v>0.934744416632566</v>
      </c>
      <c r="J414" t="n">
        <v>0.0036420556008729</v>
      </c>
      <c r="K414" t="n">
        <v>0.7913178152385271</v>
      </c>
      <c r="L414" t="b">
        <v>0</v>
      </c>
      <c r="M414" t="b">
        <v>0</v>
      </c>
      <c r="N414" t="inlineStr">
        <is>
          <t>ref</t>
        </is>
      </c>
      <c r="O414" t="n">
        <v>-70</v>
      </c>
      <c r="P414" t="n">
        <v>0.0155</v>
      </c>
      <c r="Q414" t="n">
        <v>5</v>
      </c>
      <c r="R414" t="n">
        <v>0.001129</v>
      </c>
      <c r="S414">
        <f>IMAGE("https://mitra.stanford.edu/kundaje/oak/projects/neuro-variants/variant_position/credible/roussos_2024/variant_figures/roussos_2024.infant.GLU/rs112699822_count_position.png",4,220,900)</f>
        <v/>
      </c>
      <c r="T414">
        <f>IMAGE("https://mitra.stanford.edu/kundaje/oak/projects/neuro-variants/variant_position/credible/roussos_2024/variant_figures/roussos_2024.infant.GLU/rs112699822_profile_position.png",4,220,900)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0.144379654</v>
      </c>
      <c r="G415" t="n">
        <v>0.023822771388018</v>
      </c>
      <c r="H415" t="n">
        <v>0.03064101065121</v>
      </c>
      <c r="I415" t="n">
        <v>0.0540917250782672</v>
      </c>
      <c r="J415" t="n">
        <v>0.1281972706629334</v>
      </c>
      <c r="K415" t="n">
        <v>0.1666154837320636</v>
      </c>
      <c r="L415" t="b">
        <v>0</v>
      </c>
      <c r="M415" t="b">
        <v>0</v>
      </c>
      <c r="N415" t="inlineStr">
        <is>
          <t>alt</t>
        </is>
      </c>
      <c r="O415" t="n">
        <v>75</v>
      </c>
      <c r="P415" t="n">
        <v>0.0895</v>
      </c>
      <c r="Q415" t="n">
        <v>80</v>
      </c>
      <c r="R415" t="n">
        <v>0.01953</v>
      </c>
      <c r="S415">
        <f>IMAGE("https://mitra.stanford.edu/kundaje/oak/projects/neuro-variants/variant_position/credible/roussos_2024/variant_figures/roussos_2024.infant.GLU/rs11191472_count_position.png",4,220,900)</f>
        <v/>
      </c>
      <c r="T415">
        <f>IMAGE("https://mitra.stanford.edu/kundaje/oak/projects/neuro-variants/variant_position/credible/roussos_2024/variant_figures/roussos_2024.infant.GLU/rs11191472_profile_position.png",4,220,900)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-0.0052785068</v>
      </c>
      <c r="G416" t="n">
        <v>0.3670312302857025</v>
      </c>
      <c r="H416" t="n">
        <v>0.0152497135419767</v>
      </c>
      <c r="I416" t="n">
        <v>0.3546039112410176</v>
      </c>
      <c r="J416" t="n">
        <v>0.0281608941996075</v>
      </c>
      <c r="K416" t="n">
        <v>0.4663670298180242</v>
      </c>
      <c r="L416" t="b">
        <v>0</v>
      </c>
      <c r="M416" t="b">
        <v>0</v>
      </c>
      <c r="N416" t="inlineStr">
        <is>
          <t>ref</t>
        </is>
      </c>
      <c r="O416" t="n">
        <v>10</v>
      </c>
      <c r="P416" t="n">
        <v>0.00476</v>
      </c>
      <c r="Q416" t="n">
        <v>5</v>
      </c>
      <c r="R416" t="n">
        <v>0.02222</v>
      </c>
      <c r="S416">
        <f>IMAGE("https://mitra.stanford.edu/kundaje/oak/projects/neuro-variants/variant_position/credible/roussos_2024/variant_figures/roussos_2024.infant.GLU/rs3902934_count_position.png",4,220,900)</f>
        <v/>
      </c>
      <c r="T416">
        <f>IMAGE("https://mitra.stanford.edu/kundaje/oak/projects/neuro-variants/variant_position/credible/roussos_2024/variant_figures/roussos_2024.infant.GLU/rs3902934_profile_position.png",4,220,900)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-0.0275020636</v>
      </c>
      <c r="G417" t="n">
        <v>0.1344356462347174</v>
      </c>
      <c r="H417" t="n">
        <v>0.0184927828347768</v>
      </c>
      <c r="I417" t="n">
        <v>0.2262135848959188</v>
      </c>
      <c r="J417" t="n">
        <v>0.0303004916334133</v>
      </c>
      <c r="K417" t="n">
        <v>0.4503191092171856</v>
      </c>
      <c r="L417" t="b">
        <v>0</v>
      </c>
      <c r="M417" t="b">
        <v>0</v>
      </c>
      <c r="N417" t="inlineStr">
        <is>
          <t>ref</t>
        </is>
      </c>
      <c r="O417" t="n">
        <v>-55</v>
      </c>
      <c r="P417" t="n">
        <v>0.007797</v>
      </c>
      <c r="Q417" t="n">
        <v>100</v>
      </c>
      <c r="R417" t="n">
        <v>0.0823</v>
      </c>
      <c r="S417">
        <f>IMAGE("https://mitra.stanford.edu/kundaje/oak/projects/neuro-variants/variant_position/credible/roussos_2024/variant_figures/roussos_2024.infant.GLU/rs1890184_count_position.png",4,220,900)</f>
        <v/>
      </c>
      <c r="T417">
        <f>IMAGE("https://mitra.stanford.edu/kundaje/oak/projects/neuro-variants/variant_position/credible/roussos_2024/variant_figures/roussos_2024.infant.GLU/rs1890184_profile_position.png",4,220,900)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-0.00439855732</v>
      </c>
      <c r="G418" t="n">
        <v>0.7900215777509578</v>
      </c>
      <c r="H418" t="n">
        <v>0.044960908109761</v>
      </c>
      <c r="I418" t="n">
        <v>0.0125067312121036</v>
      </c>
      <c r="J418" t="n">
        <v>0.0240029542097488</v>
      </c>
      <c r="K418" t="n">
        <v>0.4972391951318172</v>
      </c>
      <c r="L418" t="b">
        <v>1</v>
      </c>
      <c r="M418" t="b">
        <v>0</v>
      </c>
      <c r="N418" t="inlineStr">
        <is>
          <t>ref</t>
        </is>
      </c>
      <c r="O418" t="n">
        <v>20</v>
      </c>
      <c r="P418" t="n">
        <v>0.002441</v>
      </c>
      <c r="Q418" t="n">
        <v>-100</v>
      </c>
      <c r="R418" t="n">
        <v>0.139</v>
      </c>
      <c r="S418">
        <f>IMAGE("https://mitra.stanford.edu/kundaje/oak/projects/neuro-variants/variant_position/credible/roussos_2024/variant_figures/roussos_2024.infant.GLU/rs11191511_count_position.png",4,220,900)</f>
        <v/>
      </c>
      <c r="T418">
        <f>IMAGE("https://mitra.stanford.edu/kundaje/oak/projects/neuro-variants/variant_position/credible/roussos_2024/variant_figures/roussos_2024.infant.GLU/rs11191511_profile_position.png",4,220,900)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-0.0599543576</v>
      </c>
      <c r="G419" t="n">
        <v>0.1319826006705301</v>
      </c>
      <c r="H419" t="n">
        <v>0.0100306065584508</v>
      </c>
      <c r="I419" t="n">
        <v>0.7347584593563206</v>
      </c>
      <c r="J419" t="n">
        <v>0.0165733371546991</v>
      </c>
      <c r="K419" t="n">
        <v>0.5734333142768465</v>
      </c>
      <c r="L419" t="b">
        <v>0</v>
      </c>
      <c r="M419" t="b">
        <v>0</v>
      </c>
      <c r="N419" t="inlineStr">
        <is>
          <t>ref</t>
        </is>
      </c>
      <c r="O419" t="n">
        <v>-75</v>
      </c>
      <c r="P419" t="n">
        <v>0.00745</v>
      </c>
      <c r="Q419" t="n">
        <v>-55</v>
      </c>
      <c r="R419" t="n">
        <v>0.02747</v>
      </c>
      <c r="S419">
        <f>IMAGE("https://mitra.stanford.edu/kundaje/oak/projects/neuro-variants/variant_position/credible/roussos_2024/variant_figures/roussos_2024.infant.GLU/rs11191514_count_position.png",4,220,900)</f>
        <v/>
      </c>
      <c r="T419">
        <f>IMAGE("https://mitra.stanford.edu/kundaje/oak/projects/neuro-variants/variant_position/credible/roussos_2024/variant_figures/roussos_2024.infant.GLU/rs11191514_profile_position.png",4,220,900)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-0.0368113128</v>
      </c>
      <c r="G420" t="n">
        <v>0.2586253180656028</v>
      </c>
      <c r="H420" t="n">
        <v>0.009787117777649099</v>
      </c>
      <c r="I420" t="n">
        <v>0.7579978682649312</v>
      </c>
      <c r="J420" t="n">
        <v>0.2329669966269097</v>
      </c>
      <c r="K420" t="n">
        <v>0.0945145920799899</v>
      </c>
      <c r="L420" t="b">
        <v>0</v>
      </c>
      <c r="M420" t="b">
        <v>0</v>
      </c>
      <c r="N420" t="inlineStr">
        <is>
          <t>ref</t>
        </is>
      </c>
      <c r="O420" t="n">
        <v>70</v>
      </c>
      <c r="P420" t="n">
        <v>0.1299</v>
      </c>
      <c r="Q420" t="n">
        <v>95</v>
      </c>
      <c r="R420" t="n">
        <v>0.1865</v>
      </c>
      <c r="S420">
        <f>IMAGE("https://mitra.stanford.edu/kundaje/oak/projects/neuro-variants/variant_position/credible/roussos_2024/variant_figures/roussos_2024.infant.GLU/rs1926032_count_position.png",4,220,900)</f>
        <v/>
      </c>
      <c r="T420">
        <f>IMAGE("https://mitra.stanford.edu/kundaje/oak/projects/neuro-variants/variant_position/credible/roussos_2024/variant_figures/roussos_2024.infant.GLU/rs1926032_profile_position.png",4,220,900)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0.0156284742</v>
      </c>
      <c r="G421" t="n">
        <v>0.5009811905895194</v>
      </c>
      <c r="H421" t="n">
        <v>0.0059768862020946</v>
      </c>
      <c r="I421" t="n">
        <v>0.987396172266336</v>
      </c>
      <c r="J421" t="n">
        <v>0.0026510725545095</v>
      </c>
      <c r="K421" t="n">
        <v>0.8300671733894305</v>
      </c>
      <c r="L421" t="b">
        <v>0</v>
      </c>
      <c r="M421" t="b">
        <v>0</v>
      </c>
      <c r="N421" t="inlineStr">
        <is>
          <t>alt</t>
        </is>
      </c>
      <c r="O421" t="n">
        <v>0</v>
      </c>
      <c r="P421" t="n">
        <v>0</v>
      </c>
      <c r="Q421" t="n">
        <v>75</v>
      </c>
      <c r="R421" t="n">
        <v>0.05316</v>
      </c>
      <c r="S421">
        <f>IMAGE("https://mitra.stanford.edu/kundaje/oak/projects/neuro-variants/variant_position/credible/roussos_2024/variant_figures/roussos_2024.infant.GLU/rs9633712_count_position.png",4,220,900)</f>
        <v/>
      </c>
      <c r="T421">
        <f>IMAGE("https://mitra.stanford.edu/kundaje/oak/projects/neuro-variants/variant_position/credible/roussos_2024/variant_figures/roussos_2024.infant.GLU/rs9633712_profile_position.png",4,220,900)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-0.0417400552</v>
      </c>
      <c r="G422" t="n">
        <v>0.22328561061947</v>
      </c>
      <c r="H422" t="n">
        <v>0.0128697814639169</v>
      </c>
      <c r="I422" t="n">
        <v>0.4895170936644547</v>
      </c>
      <c r="J422" t="n">
        <v>0.2131363125289358</v>
      </c>
      <c r="K422" t="n">
        <v>0.1033961086754719</v>
      </c>
      <c r="L422" t="b">
        <v>0</v>
      </c>
      <c r="M422" t="b">
        <v>0</v>
      </c>
      <c r="N422" t="inlineStr">
        <is>
          <t>ref</t>
        </is>
      </c>
      <c r="O422" t="n">
        <v>80</v>
      </c>
      <c r="P422" t="n">
        <v>0.00906</v>
      </c>
      <c r="Q422" t="n">
        <v>85</v>
      </c>
      <c r="R422" t="n">
        <v>0.1726</v>
      </c>
      <c r="S422">
        <f>IMAGE("https://mitra.stanford.edu/kundaje/oak/projects/neuro-variants/variant_position/credible/roussos_2024/variant_figures/roussos_2024.infant.GLU/rs11191582_count_position.png",4,220,900)</f>
        <v/>
      </c>
      <c r="T422">
        <f>IMAGE("https://mitra.stanford.edu/kundaje/oak/projects/neuro-variants/variant_position/credible/roussos_2024/variant_figures/roussos_2024.infant.GLU/rs11191582_profile_position.png",4,220,900)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-0.002613220814</v>
      </c>
      <c r="G423" t="n">
        <v>0.8661290695189133</v>
      </c>
      <c r="H423" t="n">
        <v>0.0371153547790662</v>
      </c>
      <c r="I423" t="n">
        <v>0.0273461694454321</v>
      </c>
      <c r="J423" t="n">
        <v>0.0239687823805639</v>
      </c>
      <c r="K423" t="n">
        <v>0.5015534204834494</v>
      </c>
      <c r="L423" t="b">
        <v>0</v>
      </c>
      <c r="M423" t="b">
        <v>0</v>
      </c>
      <c r="N423" t="inlineStr">
        <is>
          <t>ref</t>
        </is>
      </c>
      <c r="O423" t="n">
        <v>100</v>
      </c>
      <c r="P423" t="n">
        <v>0.00409</v>
      </c>
      <c r="Q423" t="n">
        <v>60</v>
      </c>
      <c r="R423" t="n">
        <v>0.04205</v>
      </c>
      <c r="S423">
        <f>IMAGE("https://mitra.stanford.edu/kundaje/oak/projects/neuro-variants/variant_position/credible/roussos_2024/variant_figures/roussos_2024.infant.GLU/rs12414028_count_position.png",4,220,900)</f>
        <v/>
      </c>
      <c r="T423">
        <f>IMAGE("https://mitra.stanford.edu/kundaje/oak/projects/neuro-variants/variant_position/credible/roussos_2024/variant_figures/roussos_2024.infant.GLU/rs12414028_profile_position.png",4,220,900)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-0.140868271</v>
      </c>
      <c r="G424" t="n">
        <v>0.0245003709024194</v>
      </c>
      <c r="H424" t="n">
        <v>0.0409403893336168</v>
      </c>
      <c r="I424" t="n">
        <v>0.01840649423146</v>
      </c>
      <c r="J424" t="n">
        <v>0.293541524284045</v>
      </c>
      <c r="K424" t="n">
        <v>0.0708492838718094</v>
      </c>
      <c r="L424" t="b">
        <v>1</v>
      </c>
      <c r="M424" t="b">
        <v>0</v>
      </c>
      <c r="N424" t="inlineStr">
        <is>
          <t>ref</t>
        </is>
      </c>
      <c r="O424" t="n">
        <v>-40</v>
      </c>
      <c r="P424" t="n">
        <v>0.007263</v>
      </c>
      <c r="Q424" t="n">
        <v>-45</v>
      </c>
      <c r="R424" t="n">
        <v>0.1392</v>
      </c>
      <c r="S424">
        <f>IMAGE("https://mitra.stanford.edu/kundaje/oak/projects/neuro-variants/variant_position/credible/roussos_2024/variant_figures/roussos_2024.infant.GLU/rs1490183_count_position.png",4,220,900)</f>
        <v/>
      </c>
      <c r="T424">
        <f>IMAGE("https://mitra.stanford.edu/kundaje/oak/projects/neuro-variants/variant_position/credible/roussos_2024/variant_figures/roussos_2024.infant.GLU/rs1490183_profile_position.png",4,220,900)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-0.0652505136</v>
      </c>
      <c r="G425" t="n">
        <v>0.1463396402183502</v>
      </c>
      <c r="H425" t="n">
        <v>0.0163658984303382</v>
      </c>
      <c r="I425" t="n">
        <v>0.3036270823889943</v>
      </c>
      <c r="J425" t="n">
        <v>0.0878094755175378</v>
      </c>
      <c r="K425" t="n">
        <v>0.2351346414591033</v>
      </c>
      <c r="L425" t="b">
        <v>0</v>
      </c>
      <c r="M425" t="b">
        <v>0</v>
      </c>
      <c r="N425" t="inlineStr">
        <is>
          <t>ref</t>
        </is>
      </c>
      <c r="O425" t="n">
        <v>45</v>
      </c>
      <c r="P425" t="n">
        <v>0.001297</v>
      </c>
      <c r="Q425" t="n">
        <v>-5</v>
      </c>
      <c r="R425" t="n">
        <v>0.03516</v>
      </c>
      <c r="S425">
        <f>IMAGE("https://mitra.stanford.edu/kundaje/oak/projects/neuro-variants/variant_position/credible/roussos_2024/variant_figures/roussos_2024.infant.GLU/rs2491368_count_position.png",4,220,900)</f>
        <v/>
      </c>
      <c r="T425">
        <f>IMAGE("https://mitra.stanford.edu/kundaje/oak/projects/neuro-variants/variant_position/credible/roussos_2024/variant_figures/roussos_2024.infant.GLU/rs2491368_profile_position.png",4,220,900)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-0.0351846584</v>
      </c>
      <c r="G426" t="n">
        <v>0.1675950285588076</v>
      </c>
      <c r="H426" t="n">
        <v>0.0176140877357196</v>
      </c>
      <c r="I426" t="n">
        <v>0.2602225077843608</v>
      </c>
      <c r="J426" t="n">
        <v>0.1006007628034127</v>
      </c>
      <c r="K426" t="n">
        <v>0.2146330130471719</v>
      </c>
      <c r="L426" t="b">
        <v>0</v>
      </c>
      <c r="M426" t="b">
        <v>0</v>
      </c>
      <c r="N426" t="inlineStr">
        <is>
          <t>ref</t>
        </is>
      </c>
      <c r="O426" t="n">
        <v>15</v>
      </c>
      <c r="P426" t="n">
        <v>0.0019455</v>
      </c>
      <c r="Q426" t="n">
        <v>-65</v>
      </c>
      <c r="R426" t="n">
        <v>0.04364</v>
      </c>
      <c r="S426">
        <f>IMAGE("https://mitra.stanford.edu/kundaje/oak/projects/neuro-variants/variant_position/credible/roussos_2024/variant_figures/roussos_2024.infant.GLU/rs12250380_count_position.png",4,220,900)</f>
        <v/>
      </c>
      <c r="T426">
        <f>IMAGE("https://mitra.stanford.edu/kundaje/oak/projects/neuro-variants/variant_position/credible/roussos_2024/variant_figures/roussos_2024.infant.GLU/rs12250380_profile_position.png",4,220,900)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-0.0180828103199999</v>
      </c>
      <c r="G427" t="n">
        <v>0.4834758971439172</v>
      </c>
      <c r="H427" t="n">
        <v>0.051154097596008</v>
      </c>
      <c r="I427" t="n">
        <v>0.0069113978378379</v>
      </c>
      <c r="J427" t="n">
        <v>0.0400383606340527</v>
      </c>
      <c r="K427" t="n">
        <v>0.3999163128412186</v>
      </c>
      <c r="L427" t="b">
        <v>1</v>
      </c>
      <c r="M427" t="b">
        <v>0</v>
      </c>
      <c r="N427" t="inlineStr">
        <is>
          <t>ref</t>
        </is>
      </c>
      <c r="O427" t="n">
        <v>100</v>
      </c>
      <c r="P427" t="n">
        <v>0.02344</v>
      </c>
      <c r="Q427" t="n">
        <v>100</v>
      </c>
      <c r="R427" t="n">
        <v>0.2491</v>
      </c>
      <c r="S427">
        <f>IMAGE("https://mitra.stanford.edu/kundaje/oak/projects/neuro-variants/variant_position/credible/roussos_2024/variant_figures/roussos_2024.infant.GLU/rs1021363_count_position.png",4,220,900)</f>
        <v/>
      </c>
      <c r="T427">
        <f>IMAGE("https://mitra.stanford.edu/kundaje/oak/projects/neuro-variants/variant_position/credible/roussos_2024/variant_figures/roussos_2024.infant.GLU/rs1021363_profile_position.png",4,220,900)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0.01707159386</v>
      </c>
      <c r="G428" t="n">
        <v>0.4884382166911772</v>
      </c>
      <c r="H428" t="n">
        <v>0.0095857404147861</v>
      </c>
      <c r="I428" t="n">
        <v>0.7758484898762076</v>
      </c>
      <c r="J428" t="n">
        <v>0.0652957516700103</v>
      </c>
      <c r="K428" t="n">
        <v>0.2834845440891225</v>
      </c>
      <c r="L428" t="b">
        <v>0</v>
      </c>
      <c r="M428" t="b">
        <v>0</v>
      </c>
      <c r="N428" t="inlineStr">
        <is>
          <t>alt</t>
        </is>
      </c>
      <c r="O428" t="n">
        <v>-95</v>
      </c>
      <c r="P428" t="n">
        <v>0.008149999999999999</v>
      </c>
      <c r="Q428" t="n">
        <v>85</v>
      </c>
      <c r="R428" t="n">
        <v>0.09576</v>
      </c>
      <c r="S428">
        <f>IMAGE("https://mitra.stanford.edu/kundaje/oak/projects/neuro-variants/variant_position/credible/roussos_2024/variant_figures/roussos_2024.infant.GLU/rs2451497_count_position.png",4,220,900)</f>
        <v/>
      </c>
      <c r="T428">
        <f>IMAGE("https://mitra.stanford.edu/kundaje/oak/projects/neuro-variants/variant_position/credible/roussos_2024/variant_figures/roussos_2024.infant.GLU/rs2451497_profile_position.png",4,220,900)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-0.0158044444</v>
      </c>
      <c r="G429" t="n">
        <v>0.5142112078788763</v>
      </c>
      <c r="H429" t="n">
        <v>0.0360955301226516</v>
      </c>
      <c r="I429" t="n">
        <v>0.0302658799125872</v>
      </c>
      <c r="J429" t="n">
        <v>0.0005103728036331</v>
      </c>
      <c r="K429" t="n">
        <v>0.9362618615500694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0.0508</v>
      </c>
      <c r="Q429" t="n">
        <v>-100</v>
      </c>
      <c r="R429" t="n">
        <v>0.08495999999999999</v>
      </c>
      <c r="S429">
        <f>IMAGE("https://mitra.stanford.edu/kundaje/oak/projects/neuro-variants/variant_position/credible/roussos_2024/variant_figures/roussos_2024.infant.GLU/rs2932558_count_position.png",4,220,900)</f>
        <v/>
      </c>
      <c r="T429">
        <f>IMAGE("https://mitra.stanford.edu/kundaje/oak/projects/neuro-variants/variant_position/credible/roussos_2024/variant_figures/roussos_2024.infant.GLU/rs2932558_profile_position.png",4,220,900)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0.01050712172</v>
      </c>
      <c r="G430" t="n">
        <v>0.5217357909871357</v>
      </c>
      <c r="H430" t="n">
        <v>0.0123991446377988</v>
      </c>
      <c r="I430" t="n">
        <v>0.5297906687069023</v>
      </c>
      <c r="J430" t="n">
        <v>0.0194503847086575</v>
      </c>
      <c r="K430" t="n">
        <v>0.5422085840919768</v>
      </c>
      <c r="L430" t="b">
        <v>0</v>
      </c>
      <c r="M430" t="b">
        <v>0</v>
      </c>
      <c r="N430" t="inlineStr">
        <is>
          <t>alt</t>
        </is>
      </c>
      <c r="O430" t="n">
        <v>-60</v>
      </c>
      <c r="P430" t="n">
        <v>0.02042</v>
      </c>
      <c r="Q430" t="n">
        <v>40</v>
      </c>
      <c r="R430" t="n">
        <v>0.06775</v>
      </c>
      <c r="S430">
        <f>IMAGE("https://mitra.stanford.edu/kundaje/oak/projects/neuro-variants/variant_position/credible/roussos_2024/variant_figures/roussos_2024.infant.GLU/rs2932559_count_position.png",4,220,900)</f>
        <v/>
      </c>
      <c r="T430">
        <f>IMAGE("https://mitra.stanford.edu/kundaje/oak/projects/neuro-variants/variant_position/credible/roussos_2024/variant_figures/roussos_2024.infant.GLU/rs2932559_profile_position.png",4,220,900)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0.1424894952</v>
      </c>
      <c r="G431" t="n">
        <v>0.02367856605256</v>
      </c>
      <c r="H431" t="n">
        <v>0.0571975005993548</v>
      </c>
      <c r="I431" t="n">
        <v>0.0039020018075047</v>
      </c>
      <c r="J431" t="n">
        <v>0.0247415066469718</v>
      </c>
      <c r="K431" t="n">
        <v>0.4987231687817708</v>
      </c>
      <c r="L431" t="b">
        <v>1</v>
      </c>
      <c r="M431" t="b">
        <v>0</v>
      </c>
      <c r="N431" t="inlineStr">
        <is>
          <t>alt</t>
        </is>
      </c>
      <c r="O431" t="n">
        <v>-30</v>
      </c>
      <c r="P431" t="n">
        <v>0.02441</v>
      </c>
      <c r="Q431" t="n">
        <v>10</v>
      </c>
      <c r="R431" t="n">
        <v>0.002197</v>
      </c>
      <c r="S431">
        <f>IMAGE("https://mitra.stanford.edu/kundaje/oak/projects/neuro-variants/variant_position/credible/roussos_2024/variant_figures/roussos_2024.infant.GLU/rs7073961_count_position.png",4,220,900)</f>
        <v/>
      </c>
      <c r="T431">
        <f>IMAGE("https://mitra.stanford.edu/kundaje/oak/projects/neuro-variants/variant_position/credible/roussos_2024/variant_figures/roussos_2024.infant.GLU/rs7073961_profile_position.png",4,220,900)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-2.307935999999984e-05</v>
      </c>
      <c r="G432" t="n">
        <v>0.7782501196138453</v>
      </c>
      <c r="H432" t="n">
        <v>0.0357597445761313</v>
      </c>
      <c r="I432" t="n">
        <v>0.0315669568094786</v>
      </c>
      <c r="J432" t="n">
        <v>0.08861857624727169</v>
      </c>
      <c r="K432" t="n">
        <v>0.2416539118535659</v>
      </c>
      <c r="L432" t="b">
        <v>0</v>
      </c>
      <c r="M432" t="b">
        <v>0</v>
      </c>
      <c r="N432" t="inlineStr">
        <is>
          <t>ref</t>
        </is>
      </c>
      <c r="O432" t="n">
        <v>100</v>
      </c>
      <c r="P432" t="n">
        <v>0.01575</v>
      </c>
      <c r="Q432" t="n">
        <v>-50</v>
      </c>
      <c r="R432" t="n">
        <v>0.0706</v>
      </c>
      <c r="S432">
        <f>IMAGE("https://mitra.stanford.edu/kundaje/oak/projects/neuro-variants/variant_position/credible/roussos_2024/variant_figures/roussos_2024.infant.GLU/rs6585767_count_position.png",4,220,900)</f>
        <v/>
      </c>
      <c r="T432">
        <f>IMAGE("https://mitra.stanford.edu/kundaje/oak/projects/neuro-variants/variant_position/credible/roussos_2024/variant_figures/roussos_2024.infant.GLU/rs6585767_profile_position.png",4,220,900)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0.068717369</v>
      </c>
      <c r="G433" t="n">
        <v>0.1056186217423511</v>
      </c>
      <c r="H433" t="n">
        <v>0.014276403347154</v>
      </c>
      <c r="I433" t="n">
        <v>0.4076867880560046</v>
      </c>
      <c r="J433" t="n">
        <v>0.008857117661324</v>
      </c>
      <c r="K433" t="n">
        <v>0.6803664703831039</v>
      </c>
      <c r="L433" t="b">
        <v>0</v>
      </c>
      <c r="M433" t="b">
        <v>0</v>
      </c>
      <c r="N433" t="inlineStr">
        <is>
          <t>alt</t>
        </is>
      </c>
      <c r="O433" t="n">
        <v>-85</v>
      </c>
      <c r="P433" t="n">
        <v>0.03796</v>
      </c>
      <c r="Q433" t="n">
        <v>-55</v>
      </c>
      <c r="R433" t="n">
        <v>0.06238</v>
      </c>
      <c r="S433">
        <f>IMAGE("https://mitra.stanford.edu/kundaje/oak/projects/neuro-variants/variant_position/credible/roussos_2024/variant_figures/roussos_2024.infant.GLU/rs12415401_count_position.png",4,220,900)</f>
        <v/>
      </c>
      <c r="T433">
        <f>IMAGE("https://mitra.stanford.edu/kundaje/oak/projects/neuro-variants/variant_position/credible/roussos_2024/variant_figures/roussos_2024.infant.GLU/rs12415401_profile_position.png",4,220,900)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0.0578748512</v>
      </c>
      <c r="G434" t="n">
        <v>0.136319272633616</v>
      </c>
      <c r="H434" t="n">
        <v>0.0116567202093762</v>
      </c>
      <c r="I434" t="n">
        <v>0.5901614098276892</v>
      </c>
      <c r="J434" t="n">
        <v>0.1203465684869595</v>
      </c>
      <c r="K434" t="n">
        <v>0.1935114126190077</v>
      </c>
      <c r="L434" t="b">
        <v>0</v>
      </c>
      <c r="M434" t="b">
        <v>0</v>
      </c>
      <c r="N434" t="inlineStr">
        <is>
          <t>alt</t>
        </is>
      </c>
      <c r="O434" t="n">
        <v>100</v>
      </c>
      <c r="P434" t="n">
        <v>0.00261</v>
      </c>
      <c r="Q434" t="n">
        <v>-95</v>
      </c>
      <c r="R434" t="n">
        <v>0.2002</v>
      </c>
      <c r="S434">
        <f>IMAGE("https://mitra.stanford.edu/kundaje/oak/projects/neuro-variants/variant_position/credible/roussos_2024/variant_figures/roussos_2024.infant.GLU/rs7095093_count_position.png",4,220,900)</f>
        <v/>
      </c>
      <c r="T434">
        <f>IMAGE("https://mitra.stanford.edu/kundaje/oak/projects/neuro-variants/variant_position/credible/roussos_2024/variant_figures/roussos_2024.infant.GLU/rs7095093_profile_position.png",4,220,900)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-0.045790561</v>
      </c>
      <c r="G435" t="n">
        <v>0.2099578704208726</v>
      </c>
      <c r="H435" t="n">
        <v>0.0352437110875548</v>
      </c>
      <c r="I435" t="n">
        <v>0.0329195268785743</v>
      </c>
      <c r="J435" t="n">
        <v>0.0324356797989373</v>
      </c>
      <c r="K435" t="n">
        <v>0.4346539882265761</v>
      </c>
      <c r="L435" t="b">
        <v>0</v>
      </c>
      <c r="M435" t="b">
        <v>0</v>
      </c>
      <c r="N435" t="inlineStr">
        <is>
          <t>ref</t>
        </is>
      </c>
      <c r="O435" t="n">
        <v>-50</v>
      </c>
      <c r="P435" t="n">
        <v>0.0004883</v>
      </c>
      <c r="Q435" t="n">
        <v>-80</v>
      </c>
      <c r="R435" t="n">
        <v>0.0791</v>
      </c>
      <c r="S435">
        <f>IMAGE("https://mitra.stanford.edu/kundaje/oak/projects/neuro-variants/variant_position/credible/roussos_2024/variant_figures/roussos_2024.infant.GLU/rs7923863_count_position.png",4,220,900)</f>
        <v/>
      </c>
      <c r="T435">
        <f>IMAGE("https://mitra.stanford.edu/kundaje/oak/projects/neuro-variants/variant_position/credible/roussos_2024/variant_figures/roussos_2024.infant.GLU/rs7923863_profile_position.png",4,220,900)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-0.007908481</v>
      </c>
      <c r="G436" t="n">
        <v>0.5685021073500359</v>
      </c>
      <c r="H436" t="n">
        <v>0.0061906504208446</v>
      </c>
      <c r="I436" t="n">
        <v>0.9857041211404568</v>
      </c>
      <c r="J436" t="n">
        <v>0.0279911373707532</v>
      </c>
      <c r="K436" t="n">
        <v>0.4763802271936899</v>
      </c>
      <c r="L436" t="b">
        <v>0</v>
      </c>
      <c r="M436" t="b">
        <v>0</v>
      </c>
      <c r="N436" t="inlineStr">
        <is>
          <t>ref</t>
        </is>
      </c>
      <c r="O436" t="n">
        <v>40</v>
      </c>
      <c r="P436" t="n">
        <v>0.01738</v>
      </c>
      <c r="Q436" t="n">
        <v>5</v>
      </c>
      <c r="R436" t="n">
        <v>0.0004425</v>
      </c>
      <c r="S436">
        <f>IMAGE("https://mitra.stanford.edu/kundaje/oak/projects/neuro-variants/variant_position/credible/roussos_2024/variant_figures/roussos_2024.infant.GLU/rs72839625_count_position.png",4,220,900)</f>
        <v/>
      </c>
      <c r="T436">
        <f>IMAGE("https://mitra.stanford.edu/kundaje/oak/projects/neuro-variants/variant_position/credible/roussos_2024/variant_figures/roussos_2024.infant.GLU/rs72839625_profile_position.png",4,220,900)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-0.1591424119999999</v>
      </c>
      <c r="G437" t="n">
        <v>0.0190021617684117</v>
      </c>
      <c r="H437" t="n">
        <v>0.0282127772469202</v>
      </c>
      <c r="I437" t="n">
        <v>0.07030221440796661</v>
      </c>
      <c r="J437" t="n">
        <v>0.256637051081373</v>
      </c>
      <c r="K437" t="n">
        <v>0.0876103080753786</v>
      </c>
      <c r="L437" t="b">
        <v>1</v>
      </c>
      <c r="M437" t="b">
        <v>0</v>
      </c>
      <c r="N437" t="inlineStr">
        <is>
          <t>ref</t>
        </is>
      </c>
      <c r="O437" t="n">
        <v>100</v>
      </c>
      <c r="P437" t="n">
        <v>0.02292</v>
      </c>
      <c r="Q437" t="n">
        <v>-5</v>
      </c>
      <c r="R437" t="n">
        <v>0.0083</v>
      </c>
      <c r="S437">
        <f>IMAGE("https://mitra.stanford.edu/kundaje/oak/projects/neuro-variants/variant_position/credible/roussos_2024/variant_figures/roussos_2024.infant.GLU/rs7902292_count_position.png",4,220,900)</f>
        <v/>
      </c>
      <c r="T437">
        <f>IMAGE("https://mitra.stanford.edu/kundaje/oak/projects/neuro-variants/variant_position/credible/roussos_2024/variant_figures/roussos_2024.infant.GLU/rs7902292_profile_position.png",4,220,900)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0.0112833628</v>
      </c>
      <c r="G438" t="n">
        <v>0.5112097042735978</v>
      </c>
      <c r="H438" t="n">
        <v>0.0102611651242318</v>
      </c>
      <c r="I438" t="n">
        <v>0.7115320646633027</v>
      </c>
      <c r="J438" t="n">
        <v>0.1759408276196565</v>
      </c>
      <c r="K438" t="n">
        <v>0.1268648648310072</v>
      </c>
      <c r="L438" t="b">
        <v>0</v>
      </c>
      <c r="M438" t="b">
        <v>0</v>
      </c>
      <c r="N438" t="inlineStr">
        <is>
          <t>alt</t>
        </is>
      </c>
      <c r="O438" t="n">
        <v>100</v>
      </c>
      <c r="P438" t="n">
        <v>0.03223</v>
      </c>
      <c r="Q438" t="n">
        <v>-100</v>
      </c>
      <c r="R438" t="n">
        <v>0.1318</v>
      </c>
      <c r="S438">
        <f>IMAGE("https://mitra.stanford.edu/kundaje/oak/projects/neuro-variants/variant_position/credible/roussos_2024/variant_figures/roussos_2024.infant.GLU/rs4752661_count_position.png",4,220,900)</f>
        <v/>
      </c>
      <c r="T438">
        <f>IMAGE("https://mitra.stanford.edu/kundaje/oak/projects/neuro-variants/variant_position/credible/roussos_2024/variant_figures/roussos_2024.infant.GLU/rs4752661_profile_position.png",4,220,900)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0.0550414007</v>
      </c>
      <c r="G439" t="n">
        <v>0.1610612366119025</v>
      </c>
      <c r="H439" t="n">
        <v>0.0105964826645979</v>
      </c>
      <c r="I439" t="n">
        <v>0.63640857359201</v>
      </c>
      <c r="J439" t="n">
        <v>0.0302023854141404</v>
      </c>
      <c r="K439" t="n">
        <v>0.4558490464439962</v>
      </c>
      <c r="L439" t="b">
        <v>0</v>
      </c>
      <c r="M439" t="b">
        <v>0</v>
      </c>
      <c r="N439" t="inlineStr">
        <is>
          <t>alt</t>
        </is>
      </c>
      <c r="O439" t="n">
        <v>45</v>
      </c>
      <c r="P439" t="n">
        <v>0.007965</v>
      </c>
      <c r="Q439" t="n">
        <v>-100</v>
      </c>
      <c r="R439" t="n">
        <v>0.1603</v>
      </c>
      <c r="S439">
        <f>IMAGE("https://mitra.stanford.edu/kundaje/oak/projects/neuro-variants/variant_position/credible/roussos_2024/variant_figures/roussos_2024.infant.GLU/rs10832723_count_position.png",4,220,900)</f>
        <v/>
      </c>
      <c r="T439">
        <f>IMAGE("https://mitra.stanford.edu/kundaje/oak/projects/neuro-variants/variant_position/credible/roussos_2024/variant_figures/roussos_2024.infant.GLU/rs10832723_profile_position.png",4,220,900)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-0.1421384832</v>
      </c>
      <c r="G440" t="n">
        <v>0.0233742339144242</v>
      </c>
      <c r="H440" t="n">
        <v>0.025344361865397</v>
      </c>
      <c r="I440" t="n">
        <v>0.100706531685426</v>
      </c>
      <c r="J440" t="n">
        <v>0.1187956083687911</v>
      </c>
      <c r="K440" t="n">
        <v>0.1804009406876072</v>
      </c>
      <c r="L440" t="b">
        <v>0</v>
      </c>
      <c r="M440" t="b">
        <v>0</v>
      </c>
      <c r="N440" t="inlineStr">
        <is>
          <t>ref</t>
        </is>
      </c>
      <c r="O440" t="n">
        <v>60</v>
      </c>
      <c r="P440" t="n">
        <v>0.02472</v>
      </c>
      <c r="Q440" t="n">
        <v>100</v>
      </c>
      <c r="R440" t="n">
        <v>0.336</v>
      </c>
      <c r="S440">
        <f>IMAGE("https://mitra.stanford.edu/kundaje/oak/projects/neuro-variants/variant_position/credible/roussos_2024/variant_figures/roussos_2024.infant.GLU/rs4456241_count_position.png",4,220,900)</f>
        <v/>
      </c>
      <c r="T440">
        <f>IMAGE("https://mitra.stanford.edu/kundaje/oak/projects/neuro-variants/variant_position/credible/roussos_2024/variant_figures/roussos_2024.infant.GLU/rs4456241_profile_position.png",4,220,900)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0.0648349272</v>
      </c>
      <c r="G441" t="n">
        <v>0.1138968427312804</v>
      </c>
      <c r="H441" t="n">
        <v>0.0466093001364582</v>
      </c>
      <c r="I441" t="n">
        <v>0.0107867975436029</v>
      </c>
      <c r="J441" t="n">
        <v>0.0118653409466698</v>
      </c>
      <c r="K441" t="n">
        <v>0.6311469235090784</v>
      </c>
      <c r="L441" t="b">
        <v>1</v>
      </c>
      <c r="M441" t="b">
        <v>0</v>
      </c>
      <c r="N441" t="inlineStr">
        <is>
          <t>alt</t>
        </is>
      </c>
      <c r="O441" t="n">
        <v>100</v>
      </c>
      <c r="P441" t="n">
        <v>0.006836</v>
      </c>
      <c r="Q441" t="n">
        <v>-10</v>
      </c>
      <c r="R441" t="n">
        <v>0.007996</v>
      </c>
      <c r="S441">
        <f>IMAGE("https://mitra.stanford.edu/kundaje/oak/projects/neuro-variants/variant_position/credible/roussos_2024/variant_figures/roussos_2024.infant.GLU/rs77545208_count_position.png",4,220,900)</f>
        <v/>
      </c>
      <c r="T441">
        <f>IMAGE("https://mitra.stanford.edu/kundaje/oak/projects/neuro-variants/variant_position/credible/roussos_2024/variant_figures/roussos_2024.infant.GLU/rs77545208_profile_position.png",4,220,900)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-0.0221370436</v>
      </c>
      <c r="G442" t="n">
        <v>0.4139711742650667</v>
      </c>
      <c r="H442" t="n">
        <v>0.0475493059424089</v>
      </c>
      <c r="I442" t="n">
        <v>0.009647121185417599</v>
      </c>
      <c r="J442" t="n">
        <v>0.061143323265504</v>
      </c>
      <c r="K442" t="n">
        <v>0.303652899793473</v>
      </c>
      <c r="L442" t="b">
        <v>1</v>
      </c>
      <c r="M442" t="b">
        <v>1</v>
      </c>
      <c r="N442" t="inlineStr">
        <is>
          <t>ref</t>
        </is>
      </c>
      <c r="O442" t="n">
        <v>-40</v>
      </c>
      <c r="P442" t="n">
        <v>0.004883</v>
      </c>
      <c r="Q442" t="n">
        <v>-30</v>
      </c>
      <c r="R442" t="n">
        <v>0.02637</v>
      </c>
      <c r="S442">
        <f>IMAGE("https://mitra.stanford.edu/kundaje/oak/projects/neuro-variants/variant_position/credible/roussos_2024/variant_figures/roussos_2024.infant.GLU/rs34902253_count_position.png",4,220,900)</f>
        <v/>
      </c>
      <c r="T442">
        <f>IMAGE("https://mitra.stanford.edu/kundaje/oak/projects/neuro-variants/variant_position/credible/roussos_2024/variant_figures/roussos_2024.infant.GLU/rs34902253_profile_position.png",4,220,900)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0.0678507498</v>
      </c>
      <c r="G443" t="n">
        <v>0.1057997764766254</v>
      </c>
      <c r="H443" t="n">
        <v>0.0139401506524648</v>
      </c>
      <c r="I443" t="n">
        <v>0.4216925397587178</v>
      </c>
      <c r="J443" t="n">
        <v>0.2077448797372075</v>
      </c>
      <c r="K443" t="n">
        <v>0.1039856774218601</v>
      </c>
      <c r="L443" t="b">
        <v>0</v>
      </c>
      <c r="M443" t="b">
        <v>0</v>
      </c>
      <c r="N443" t="inlineStr">
        <is>
          <t>alt</t>
        </is>
      </c>
      <c r="O443" t="n">
        <v>-100</v>
      </c>
      <c r="P443" t="n">
        <v>0.00438</v>
      </c>
      <c r="Q443" t="n">
        <v>85</v>
      </c>
      <c r="R443" t="n">
        <v>0.1105</v>
      </c>
      <c r="S443">
        <f>IMAGE("https://mitra.stanford.edu/kundaje/oak/projects/neuro-variants/variant_position/credible/roussos_2024/variant_figures/roussos_2024.infant.GLU/rs7950225_count_position.png",4,220,900)</f>
        <v/>
      </c>
      <c r="T443">
        <f>IMAGE("https://mitra.stanford.edu/kundaje/oak/projects/neuro-variants/variant_position/credible/roussos_2024/variant_figures/roussos_2024.infant.GLU/rs7950225_profile_position.png",4,220,900)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-0.093421516</v>
      </c>
      <c r="G444" t="n">
        <v>0.0654762125677865</v>
      </c>
      <c r="H444" t="n">
        <v>0.0149111078696781</v>
      </c>
      <c r="I444" t="n">
        <v>0.3696496570358096</v>
      </c>
      <c r="J444" t="n">
        <v>0.0226724575056768</v>
      </c>
      <c r="K444" t="n">
        <v>0.5081783919204391</v>
      </c>
      <c r="L444" t="b">
        <v>0</v>
      </c>
      <c r="M444" t="b">
        <v>0</v>
      </c>
      <c r="N444" t="inlineStr">
        <is>
          <t>ref</t>
        </is>
      </c>
      <c r="O444" t="n">
        <v>85</v>
      </c>
      <c r="P444" t="n">
        <v>0.01048</v>
      </c>
      <c r="Q444" t="n">
        <v>100</v>
      </c>
      <c r="R444" t="n">
        <v>0.1228</v>
      </c>
      <c r="S444">
        <f>IMAGE("https://mitra.stanford.edu/kundaje/oak/projects/neuro-variants/variant_position/credible/roussos_2024/variant_figures/roussos_2024.infant.GLU/rs12577418_count_position.png",4,220,900)</f>
        <v/>
      </c>
      <c r="T444">
        <f>IMAGE("https://mitra.stanford.edu/kundaje/oak/projects/neuro-variants/variant_position/credible/roussos_2024/variant_figures/roussos_2024.infant.GLU/rs12577418_profile_position.png",4,220,900)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-0.0431906146</v>
      </c>
      <c r="G445" t="n">
        <v>0.2118182275185147</v>
      </c>
      <c r="H445" t="n">
        <v>0.0511084946478172</v>
      </c>
      <c r="I445" t="n">
        <v>0.0068076624167489</v>
      </c>
      <c r="J445" t="n">
        <v>0.0095471681474458</v>
      </c>
      <c r="K445" t="n">
        <v>0.6652787995269545</v>
      </c>
      <c r="L445" t="b">
        <v>0</v>
      </c>
      <c r="M445" t="b">
        <v>0</v>
      </c>
      <c r="N445" t="inlineStr">
        <is>
          <t>ref</t>
        </is>
      </c>
      <c r="O445" t="n">
        <v>-70</v>
      </c>
      <c r="P445" t="n">
        <v>0.0696</v>
      </c>
      <c r="Q445" t="n">
        <v>-85</v>
      </c>
      <c r="R445" t="n">
        <v>0.0539</v>
      </c>
      <c r="S445">
        <f>IMAGE("https://mitra.stanford.edu/kundaje/oak/projects/neuro-variants/variant_position/credible/roussos_2024/variant_figures/roussos_2024.infant.GLU/rs11024151_count_position.png",4,220,900)</f>
        <v/>
      </c>
      <c r="T445">
        <f>IMAGE("https://mitra.stanford.edu/kundaje/oak/projects/neuro-variants/variant_position/credible/roussos_2024/variant_figures/roussos_2024.infant.GLU/rs11024151_profile_position.png",4,220,900)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0.0374794242</v>
      </c>
      <c r="G446" t="n">
        <v>0.2536654168371954</v>
      </c>
      <c r="H446" t="n">
        <v>0.0132077464335746</v>
      </c>
      <c r="I446" t="n">
        <v>0.4691991722660241</v>
      </c>
      <c r="J446" t="n">
        <v>0.0710200842170241</v>
      </c>
      <c r="K446" t="n">
        <v>0.2724544107043959</v>
      </c>
      <c r="L446" t="b">
        <v>0</v>
      </c>
      <c r="M446" t="b">
        <v>0</v>
      </c>
      <c r="N446" t="inlineStr">
        <is>
          <t>alt</t>
        </is>
      </c>
      <c r="O446" t="n">
        <v>20</v>
      </c>
      <c r="P446" t="n">
        <v>0.00135</v>
      </c>
      <c r="Q446" t="n">
        <v>5</v>
      </c>
      <c r="R446" t="n">
        <v>0.000977</v>
      </c>
      <c r="S446">
        <f>IMAGE("https://mitra.stanford.edu/kundaje/oak/projects/neuro-variants/variant_position/credible/roussos_2024/variant_figures/roussos_2024.infant.GLU/rs1987694_count_position.png",4,220,900)</f>
        <v/>
      </c>
      <c r="T446">
        <f>IMAGE("https://mitra.stanford.edu/kundaje/oak/projects/neuro-variants/variant_position/credible/roussos_2024/variant_figures/roussos_2024.infant.GLU/rs1987694_profile_position.png",4,220,900)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-0.0130940244</v>
      </c>
      <c r="G447" t="n">
        <v>0.5759615244040521</v>
      </c>
      <c r="H447" t="n">
        <v>0.0254285680288314</v>
      </c>
      <c r="I447" t="n">
        <v>0.095855508187334</v>
      </c>
      <c r="J447" t="n">
        <v>0.1914019268502391</v>
      </c>
      <c r="K447" t="n">
        <v>0.1142994519326895</v>
      </c>
      <c r="L447" t="b">
        <v>0</v>
      </c>
      <c r="M447" t="b">
        <v>0</v>
      </c>
      <c r="N447" t="inlineStr">
        <is>
          <t>ref</t>
        </is>
      </c>
      <c r="O447" t="n">
        <v>25</v>
      </c>
      <c r="P447" t="n">
        <v>0.05258</v>
      </c>
      <c r="Q447" t="n">
        <v>100</v>
      </c>
      <c r="R447" t="n">
        <v>0.3286</v>
      </c>
      <c r="S447">
        <f>IMAGE("https://mitra.stanford.edu/kundaje/oak/projects/neuro-variants/variant_position/credible/roussos_2024/variant_figures/roussos_2024.infant.GLU/rs214934_count_position.png",4,220,900)</f>
        <v/>
      </c>
      <c r="T447">
        <f>IMAGE("https://mitra.stanford.edu/kundaje/oak/projects/neuro-variants/variant_position/credible/roussos_2024/variant_figures/roussos_2024.infant.GLU/rs214934_profile_position.png",4,220,900)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-0.0123642188</v>
      </c>
      <c r="G448" t="n">
        <v>0.5828084186168928</v>
      </c>
      <c r="H448" t="n">
        <v>0.0365001034028982</v>
      </c>
      <c r="I448" t="n">
        <v>0.0290471828887243</v>
      </c>
      <c r="J448" t="n">
        <v>0.015434643620891</v>
      </c>
      <c r="K448" t="n">
        <v>0.58758925032781</v>
      </c>
      <c r="L448" t="b">
        <v>0</v>
      </c>
      <c r="M448" t="b">
        <v>0</v>
      </c>
      <c r="N448" t="inlineStr">
        <is>
          <t>ref</t>
        </is>
      </c>
      <c r="O448" t="n">
        <v>40</v>
      </c>
      <c r="P448" t="n">
        <v>0.003662</v>
      </c>
      <c r="Q448" t="n">
        <v>95</v>
      </c>
      <c r="R448" t="n">
        <v>0.1263</v>
      </c>
      <c r="S448">
        <f>IMAGE("https://mitra.stanford.edu/kundaje/oak/projects/neuro-variants/variant_position/credible/roussos_2024/variant_figures/roussos_2024.infant.GLU/rs664382_count_position.png",4,220,900)</f>
        <v/>
      </c>
      <c r="T448">
        <f>IMAGE("https://mitra.stanford.edu/kundaje/oak/projects/neuro-variants/variant_position/credible/roussos_2024/variant_figures/roussos_2024.infant.GLU/rs664382_profile_position.png",4,220,900)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-0.1407628968</v>
      </c>
      <c r="G449" t="n">
        <v>0.0260553270758554</v>
      </c>
      <c r="H449" t="n">
        <v>0.0227480072418339</v>
      </c>
      <c r="I449" t="n">
        <v>0.1306259677691864</v>
      </c>
      <c r="J449" t="n">
        <v>0.010647280583787</v>
      </c>
      <c r="K449" t="n">
        <v>0.6691169988610164</v>
      </c>
      <c r="L449" t="b">
        <v>0</v>
      </c>
      <c r="M449" t="b">
        <v>0</v>
      </c>
      <c r="N449" t="inlineStr">
        <is>
          <t>ref</t>
        </is>
      </c>
      <c r="O449" t="n">
        <v>-100</v>
      </c>
      <c r="P449" t="n">
        <v>0.2218</v>
      </c>
      <c r="Q449" t="n">
        <v>-95</v>
      </c>
      <c r="R449" t="n">
        <v>0.05853</v>
      </c>
      <c r="S449">
        <f>IMAGE("https://mitra.stanford.edu/kundaje/oak/projects/neuro-variants/variant_position/credible/roussos_2024/variant_figures/roussos_2024.infant.GLU/rs665311_count_position.png",4,220,900)</f>
        <v/>
      </c>
      <c r="T449">
        <f>IMAGE("https://mitra.stanford.edu/kundaje/oak/projects/neuro-variants/variant_position/credible/roussos_2024/variant_figures/roussos_2024.infant.GLU/rs665311_profile_position.png",4,220,900)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-0.0643811002</v>
      </c>
      <c r="G450" t="n">
        <v>0.1193894743871154</v>
      </c>
      <c r="H450" t="n">
        <v>0.017971829280915</v>
      </c>
      <c r="I450" t="n">
        <v>0.2401933789560557</v>
      </c>
      <c r="J450" t="n">
        <v>0.0667320708128485</v>
      </c>
      <c r="K450" t="n">
        <v>0.2840180374143962</v>
      </c>
      <c r="L450" t="b">
        <v>0</v>
      </c>
      <c r="M450" t="b">
        <v>0</v>
      </c>
      <c r="N450" t="inlineStr">
        <is>
          <t>ref</t>
        </is>
      </c>
      <c r="O450" t="n">
        <v>-75</v>
      </c>
      <c r="P450" t="n">
        <v>0.005714</v>
      </c>
      <c r="Q450" t="n">
        <v>45</v>
      </c>
      <c r="R450" t="n">
        <v>0.07166</v>
      </c>
      <c r="S450">
        <f>IMAGE("https://mitra.stanford.edu/kundaje/oak/projects/neuro-variants/variant_position/credible/roussos_2024/variant_figures/roussos_2024.infant.GLU/rs615358_count_position.png",4,220,900)</f>
        <v/>
      </c>
      <c r="T450">
        <f>IMAGE("https://mitra.stanford.edu/kundaje/oak/projects/neuro-variants/variant_position/credible/roussos_2024/variant_figures/roussos_2024.infant.GLU/rs615358_profile_position.png",4,220,900)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0.011342969726</v>
      </c>
      <c r="G451" t="n">
        <v>0.5055697125147283</v>
      </c>
      <c r="H451" t="n">
        <v>0.0099460390536247</v>
      </c>
      <c r="I451" t="n">
        <v>0.7049771573533421</v>
      </c>
      <c r="J451" t="n">
        <v>0.0667563217883991</v>
      </c>
      <c r="K451" t="n">
        <v>0.2843586095329525</v>
      </c>
      <c r="L451" t="b">
        <v>0</v>
      </c>
      <c r="M451" t="b">
        <v>0</v>
      </c>
      <c r="N451" t="inlineStr">
        <is>
          <t>alt</t>
        </is>
      </c>
      <c r="O451" t="n">
        <v>100</v>
      </c>
      <c r="P451" t="n">
        <v>0.004303</v>
      </c>
      <c r="Q451" t="n">
        <v>-10</v>
      </c>
      <c r="R451" t="n">
        <v>0.0004883</v>
      </c>
      <c r="S451">
        <f>IMAGE("https://mitra.stanford.edu/kundaje/oak/projects/neuro-variants/variant_position/credible/roussos_2024/variant_figures/roussos_2024.infant.GLU/rs615424_count_position.png",4,220,900)</f>
        <v/>
      </c>
      <c r="T451">
        <f>IMAGE("https://mitra.stanford.edu/kundaje/oak/projects/neuro-variants/variant_position/credible/roussos_2024/variant_figures/roussos_2024.infant.GLU/rs615424_profile_position.png",4,220,900)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0.0556097516</v>
      </c>
      <c r="G452" t="n">
        <v>0.1376560130304256</v>
      </c>
      <c r="H452" t="n">
        <v>0.0097542727269316</v>
      </c>
      <c r="I452" t="n">
        <v>0.7567234136933224</v>
      </c>
      <c r="J452" t="n">
        <v>0.0071231729094556</v>
      </c>
      <c r="K452" t="n">
        <v>0.7086177603762225</v>
      </c>
      <c r="L452" t="b">
        <v>0</v>
      </c>
      <c r="M452" t="b">
        <v>0</v>
      </c>
      <c r="N452" t="inlineStr">
        <is>
          <t>alt</t>
        </is>
      </c>
      <c r="O452" t="n">
        <v>75</v>
      </c>
      <c r="P452" t="n">
        <v>0.010185</v>
      </c>
      <c r="Q452" t="n">
        <v>-60</v>
      </c>
      <c r="R452" t="n">
        <v>0.0418</v>
      </c>
      <c r="S452">
        <f>IMAGE("https://mitra.stanford.edu/kundaje/oak/projects/neuro-variants/variant_position/credible/roussos_2024/variant_figures/roussos_2024.infant.GLU/rs2553965_count_position.png",4,220,900)</f>
        <v/>
      </c>
      <c r="T452">
        <f>IMAGE("https://mitra.stanford.edu/kundaje/oak/projects/neuro-variants/variant_position/credible/roussos_2024/variant_figures/roussos_2024.infant.GLU/rs2553965_profile_position.png",4,220,900)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-0.1989395779999999</v>
      </c>
      <c r="G453" t="n">
        <v>0.0105730447755415</v>
      </c>
      <c r="H453" t="n">
        <v>0.0292503009931805</v>
      </c>
      <c r="I453" t="n">
        <v>0.0632884616575158</v>
      </c>
      <c r="J453" t="n">
        <v>0.0218820961661411</v>
      </c>
      <c r="K453" t="n">
        <v>0.5263878931045551</v>
      </c>
      <c r="L453" t="b">
        <v>1</v>
      </c>
      <c r="M453" t="b">
        <v>0</v>
      </c>
      <c r="N453" t="inlineStr">
        <is>
          <t>ref</t>
        </is>
      </c>
      <c r="O453" t="n">
        <v>100</v>
      </c>
      <c r="P453" t="n">
        <v>0.1309</v>
      </c>
      <c r="Q453" t="n">
        <v>-45</v>
      </c>
      <c r="R453" t="n">
        <v>0.0459</v>
      </c>
      <c r="S453">
        <f>IMAGE("https://mitra.stanford.edu/kundaje/oak/projects/neuro-variants/variant_position/credible/roussos_2024/variant_figures/roussos_2024.infant.GLU/rs712017_count_position.png",4,220,900)</f>
        <v/>
      </c>
      <c r="T453">
        <f>IMAGE("https://mitra.stanford.edu/kundaje/oak/projects/neuro-variants/variant_position/credible/roussos_2024/variant_figures/roussos_2024.infant.GLU/rs712017_profile_position.png",4,220,900)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-0.001412149482</v>
      </c>
      <c r="G454" t="n">
        <v>0.8663650362731119</v>
      </c>
      <c r="H454" t="n">
        <v>0.0123958728900167</v>
      </c>
      <c r="I454" t="n">
        <v>0.5273762860165027</v>
      </c>
      <c r="J454" t="n">
        <v>0.0197094292202208</v>
      </c>
      <c r="K454" t="n">
        <v>0.5523067321300097</v>
      </c>
      <c r="L454" t="b">
        <v>0</v>
      </c>
      <c r="M454" t="b">
        <v>0</v>
      </c>
      <c r="N454" t="inlineStr">
        <is>
          <t>ref</t>
        </is>
      </c>
      <c r="O454" t="n">
        <v>40</v>
      </c>
      <c r="P454" t="n">
        <v>0.04</v>
      </c>
      <c r="Q454" t="n">
        <v>80</v>
      </c>
      <c r="R454" t="n">
        <v>0.0688</v>
      </c>
      <c r="S454">
        <f>IMAGE("https://mitra.stanford.edu/kundaje/oak/projects/neuro-variants/variant_position/credible/roussos_2024/variant_figures/roussos_2024.infant.GLU/rs813212_count_position.png",4,220,900)</f>
        <v/>
      </c>
      <c r="T454">
        <f>IMAGE("https://mitra.stanford.edu/kundaje/oak/projects/neuro-variants/variant_position/credible/roussos_2024/variant_figures/roussos_2024.infant.GLU/rs813212_profile_position.png",4,220,900)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0.0527275186</v>
      </c>
      <c r="G455" t="n">
        <v>0.1565769492468098</v>
      </c>
      <c r="H455" t="n">
        <v>0.0110776881412188</v>
      </c>
      <c r="I455" t="n">
        <v>0.640854560614557</v>
      </c>
      <c r="J455" t="n">
        <v>0.0182664961749597</v>
      </c>
      <c r="K455" t="n">
        <v>0.5524456922585563</v>
      </c>
      <c r="L455" t="b">
        <v>0</v>
      </c>
      <c r="M455" t="b">
        <v>0</v>
      </c>
      <c r="N455" t="inlineStr">
        <is>
          <t>alt</t>
        </is>
      </c>
      <c r="O455" t="n">
        <v>-75</v>
      </c>
      <c r="P455" t="n">
        <v>0.02132</v>
      </c>
      <c r="Q455" t="n">
        <v>-100</v>
      </c>
      <c r="R455" t="n">
        <v>0.04956</v>
      </c>
      <c r="S455">
        <f>IMAGE("https://mitra.stanford.edu/kundaje/oak/projects/neuro-variants/variant_position/credible/roussos_2024/variant_figures/roussos_2024.infant.GLU/rs1087110_count_position.png",4,220,900)</f>
        <v/>
      </c>
      <c r="T455">
        <f>IMAGE("https://mitra.stanford.edu/kundaje/oak/projects/neuro-variants/variant_position/credible/roussos_2024/variant_figures/roussos_2024.infant.GLU/rs1087110_profile_position.png",4,220,900)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0.19316564</v>
      </c>
      <c r="G456" t="n">
        <v>0.0110633743927969</v>
      </c>
      <c r="H456" t="n">
        <v>0.0267823254316751</v>
      </c>
      <c r="I456" t="n">
        <v>0.08258935224954871</v>
      </c>
      <c r="J456" t="n">
        <v>0.4532771886505434</v>
      </c>
      <c r="K456" t="n">
        <v>0.0367145546574261</v>
      </c>
      <c r="L456" t="b">
        <v>1</v>
      </c>
      <c r="M456" t="b">
        <v>0</v>
      </c>
      <c r="N456" t="inlineStr">
        <is>
          <t>alt</t>
        </is>
      </c>
      <c r="O456" t="n">
        <v>85</v>
      </c>
      <c r="P456" t="n">
        <v>0.01224</v>
      </c>
      <c r="Q456" t="n">
        <v>95</v>
      </c>
      <c r="R456" t="n">
        <v>0.1221</v>
      </c>
      <c r="S456">
        <f>IMAGE("https://mitra.stanford.edu/kundaje/oak/projects/neuro-variants/variant_position/credible/roussos_2024/variant_figures/roussos_2024.infant.GLU/rs1698887_count_position.png",4,220,900)</f>
        <v/>
      </c>
      <c r="T456">
        <f>IMAGE("https://mitra.stanford.edu/kundaje/oak/projects/neuro-variants/variant_position/credible/roussos_2024/variant_figures/roussos_2024.infant.GLU/rs1698887_profile_position.png",4,220,900)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0.0508508954</v>
      </c>
      <c r="G457" t="n">
        <v>0.1577197398750411</v>
      </c>
      <c r="H457" t="n">
        <v>0.0123574038403198</v>
      </c>
      <c r="I457" t="n">
        <v>0.5299506229410103</v>
      </c>
      <c r="J457" t="n">
        <v>0.13786018210278</v>
      </c>
      <c r="K457" t="n">
        <v>0.1669888758806756</v>
      </c>
      <c r="L457" t="b">
        <v>0</v>
      </c>
      <c r="M457" t="b">
        <v>0</v>
      </c>
      <c r="N457" t="inlineStr">
        <is>
          <t>alt</t>
        </is>
      </c>
      <c r="O457" t="n">
        <v>-90</v>
      </c>
      <c r="P457" t="n">
        <v>0.11316</v>
      </c>
      <c r="Q457" t="n">
        <v>-90</v>
      </c>
      <c r="R457" t="n">
        <v>0.3477</v>
      </c>
      <c r="S457">
        <f>IMAGE("https://mitra.stanford.edu/kundaje/oak/projects/neuro-variants/variant_position/credible/roussos_2024/variant_figures/roussos_2024.infant.GLU/rs11025099_count_position.png",4,220,900)</f>
        <v/>
      </c>
      <c r="T457">
        <f>IMAGE("https://mitra.stanford.edu/kundaje/oak/projects/neuro-variants/variant_position/credible/roussos_2024/variant_figures/roussos_2024.infant.GLU/rs11025099_profile_position.png",4,220,900)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0.1095108629999999</v>
      </c>
      <c r="G458" t="n">
        <v>0.0408813240804498</v>
      </c>
      <c r="H458" t="n">
        <v>0.0265721902542162</v>
      </c>
      <c r="I458" t="n">
        <v>0.08424788005442831</v>
      </c>
      <c r="J458" t="n">
        <v>0.0351385612557595</v>
      </c>
      <c r="K458" t="n">
        <v>0.4152029172822719</v>
      </c>
      <c r="L458" t="b">
        <v>0</v>
      </c>
      <c r="M458" t="b">
        <v>0</v>
      </c>
      <c r="N458" t="inlineStr">
        <is>
          <t>alt</t>
        </is>
      </c>
      <c r="O458" t="n">
        <v>-100</v>
      </c>
      <c r="P458" t="n">
        <v>0.02803</v>
      </c>
      <c r="Q458" t="n">
        <v>-95</v>
      </c>
      <c r="R458" t="n">
        <v>0.1219</v>
      </c>
      <c r="S458">
        <f>IMAGE("https://mitra.stanford.edu/kundaje/oak/projects/neuro-variants/variant_position/credible/roussos_2024/variant_figures/roussos_2024.infant.GLU/rs10833094_count_position.png",4,220,900)</f>
        <v/>
      </c>
      <c r="T458">
        <f>IMAGE("https://mitra.stanford.edu/kundaje/oak/projects/neuro-variants/variant_position/credible/roussos_2024/variant_figures/roussos_2024.infant.GLU/rs10833094_profile_position.png",4,220,900)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-0.005321966534</v>
      </c>
      <c r="G459" t="n">
        <v>0.6739775385752895</v>
      </c>
      <c r="H459" t="n">
        <v>0.0137198751160636</v>
      </c>
      <c r="I459" t="n">
        <v>0.4355526183825337</v>
      </c>
      <c r="J459" t="n">
        <v>0.0578099164443659</v>
      </c>
      <c r="K459" t="n">
        <v>0.3067218912763555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0.05933</v>
      </c>
      <c r="Q459" t="n">
        <v>95</v>
      </c>
      <c r="R459" t="n">
        <v>0.1522</v>
      </c>
      <c r="S459">
        <f>IMAGE("https://mitra.stanford.edu/kundaje/oak/projects/neuro-variants/variant_position/credible/roussos_2024/variant_figures/roussos_2024.infant.GLU/rs57208920_count_position.png",4,220,900)</f>
        <v/>
      </c>
      <c r="T459">
        <f>IMAGE("https://mitra.stanford.edu/kundaje/oak/projects/neuro-variants/variant_position/credible/roussos_2024/variant_figures/roussos_2024.infant.GLU/rs57208920_profile_position.png",4,220,900)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0.0360046842</v>
      </c>
      <c r="G460" t="n">
        <v>0.2069031076830472</v>
      </c>
      <c r="H460" t="n">
        <v>0.0530886684569835</v>
      </c>
      <c r="I460" t="n">
        <v>0.0057554852308235</v>
      </c>
      <c r="J460" t="n">
        <v>0.1722425538481888</v>
      </c>
      <c r="K460" t="n">
        <v>0.1293288876205099</v>
      </c>
      <c r="L460" t="b">
        <v>1</v>
      </c>
      <c r="M460" t="b">
        <v>1</v>
      </c>
      <c r="N460" t="inlineStr">
        <is>
          <t>alt</t>
        </is>
      </c>
      <c r="O460" t="n">
        <v>-95</v>
      </c>
      <c r="P460" t="n">
        <v>0.0263</v>
      </c>
      <c r="Q460" t="n">
        <v>95</v>
      </c>
      <c r="R460" t="n">
        <v>0.0555</v>
      </c>
      <c r="S460">
        <f>IMAGE("https://mitra.stanford.edu/kundaje/oak/projects/neuro-variants/variant_position/credible/roussos_2024/variant_figures/roussos_2024.infant.GLU/rs10766541_count_position.png",4,220,900)</f>
        <v/>
      </c>
      <c r="T460">
        <f>IMAGE("https://mitra.stanford.edu/kundaje/oak/projects/neuro-variants/variant_position/credible/roussos_2024/variant_figures/roussos_2024.infant.GLU/rs10766541_profile_position.png",4,220,900)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0.04333155748</v>
      </c>
      <c r="G461" t="n">
        <v>0.2249656203810562</v>
      </c>
      <c r="H461" t="n">
        <v>0.0361119992631795</v>
      </c>
      <c r="I461" t="n">
        <v>0.0299681626475798</v>
      </c>
      <c r="J461" t="n">
        <v>0.0077570052249828</v>
      </c>
      <c r="K461" t="n">
        <v>0.7358768469287846</v>
      </c>
      <c r="L461" t="b">
        <v>0</v>
      </c>
      <c r="M461" t="b">
        <v>0</v>
      </c>
      <c r="N461" t="inlineStr">
        <is>
          <t>alt</t>
        </is>
      </c>
      <c r="O461" t="n">
        <v>35</v>
      </c>
      <c r="P461" t="n">
        <v>0.007849999999999999</v>
      </c>
      <c r="Q461" t="n">
        <v>5</v>
      </c>
      <c r="R461" t="n">
        <v>0.008030000000000001</v>
      </c>
      <c r="S461">
        <f>IMAGE("https://mitra.stanford.edu/kundaje/oak/projects/neuro-variants/variant_position/credible/roussos_2024/variant_figures/roussos_2024.infant.GLU/rs7940014_count_position.png",4,220,900)</f>
        <v/>
      </c>
      <c r="T461">
        <f>IMAGE("https://mitra.stanford.edu/kundaje/oak/projects/neuro-variants/variant_position/credible/roussos_2024/variant_figures/roussos_2024.infant.GLU/rs7940014_profile_position.png",4,220,900)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-0.058028121</v>
      </c>
      <c r="G462" t="n">
        <v>0.1340689085052847</v>
      </c>
      <c r="H462" t="n">
        <v>0.0110773628397957</v>
      </c>
      <c r="I462" t="n">
        <v>0.6302097373468037</v>
      </c>
      <c r="J462" t="n">
        <v>0.0451817720849224</v>
      </c>
      <c r="K462" t="n">
        <v>0.368636257164174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0.01097</v>
      </c>
      <c r="Q462" t="n">
        <v>-40</v>
      </c>
      <c r="R462" t="n">
        <v>0.01318</v>
      </c>
      <c r="S462">
        <f>IMAGE("https://mitra.stanford.edu/kundaje/oak/projects/neuro-variants/variant_position/credible/roussos_2024/variant_figures/roussos_2024.infant.GLU/rs4757792_count_position.png",4,220,900)</f>
        <v/>
      </c>
      <c r="T462">
        <f>IMAGE("https://mitra.stanford.edu/kundaje/oak/projects/neuro-variants/variant_position/credible/roussos_2024/variant_figures/roussos_2024.infant.GLU/rs4757792_profile_position.png",4,220,900)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-0.2072825679999999</v>
      </c>
      <c r="G463" t="n">
        <v>0.0105627805180281</v>
      </c>
      <c r="H463" t="n">
        <v>0.0451749701303706</v>
      </c>
      <c r="I463" t="n">
        <v>0.0124086146254347</v>
      </c>
      <c r="J463" t="n">
        <v>0.0229469344562269</v>
      </c>
      <c r="K463" t="n">
        <v>0.5068079093577311</v>
      </c>
      <c r="L463" t="b">
        <v>1</v>
      </c>
      <c r="M463" t="b">
        <v>0</v>
      </c>
      <c r="N463" t="inlineStr">
        <is>
          <t>ref</t>
        </is>
      </c>
      <c r="O463" t="n">
        <v>-45</v>
      </c>
      <c r="P463" t="n">
        <v>0.02393</v>
      </c>
      <c r="Q463" t="n">
        <v>-85</v>
      </c>
      <c r="R463" t="n">
        <v>0.0631</v>
      </c>
      <c r="S463">
        <f>IMAGE("https://mitra.stanford.edu/kundaje/oak/projects/neuro-variants/variant_position/credible/roussos_2024/variant_figures/roussos_2024.infant.GLU/rs17234749_count_position.png",4,220,900)</f>
        <v/>
      </c>
      <c r="T463">
        <f>IMAGE("https://mitra.stanford.edu/kundaje/oak/projects/neuro-variants/variant_position/credible/roussos_2024/variant_figures/roussos_2024.infant.GLU/rs17234749_profile_position.png",4,220,900)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-0.0154581523359999</v>
      </c>
      <c r="G464" t="n">
        <v>0.4806907241508472</v>
      </c>
      <c r="H464" t="n">
        <v>0.0336548940574442</v>
      </c>
      <c r="I464" t="n">
        <v>0.0393360730486212</v>
      </c>
      <c r="J464" t="n">
        <v>0.0145660177693511</v>
      </c>
      <c r="K464" t="n">
        <v>0.5949945821922692</v>
      </c>
      <c r="L464" t="b">
        <v>0</v>
      </c>
      <c r="M464" t="b">
        <v>0</v>
      </c>
      <c r="N464" t="inlineStr">
        <is>
          <t>ref</t>
        </is>
      </c>
      <c r="O464" t="n">
        <v>-100</v>
      </c>
      <c r="P464" t="n">
        <v>0.01787</v>
      </c>
      <c r="Q464" t="n">
        <v>90</v>
      </c>
      <c r="R464" t="n">
        <v>0.05667</v>
      </c>
      <c r="S464">
        <f>IMAGE("https://mitra.stanford.edu/kundaje/oak/projects/neuro-variants/variant_position/credible/roussos_2024/variant_figures/roussos_2024.infant.GLU/rs1025883_count_position.png",4,220,900)</f>
        <v/>
      </c>
      <c r="T464">
        <f>IMAGE("https://mitra.stanford.edu/kundaje/oak/projects/neuro-variants/variant_position/credible/roussos_2024/variant_figures/roussos_2024.infant.GLU/rs1025883_profile_position.png",4,220,900)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-0.0324663959999999</v>
      </c>
      <c r="G465" t="n">
        <v>0.2984470168354519</v>
      </c>
      <c r="H465" t="n">
        <v>0.0354664615601286</v>
      </c>
      <c r="I465" t="n">
        <v>0.0324398194325713</v>
      </c>
      <c r="J465" t="n">
        <v>0.1336449216252562</v>
      </c>
      <c r="K465" t="n">
        <v>0.1609218525958581</v>
      </c>
      <c r="L465" t="b">
        <v>0</v>
      </c>
      <c r="M465" t="b">
        <v>0</v>
      </c>
      <c r="N465" t="inlineStr">
        <is>
          <t>ref</t>
        </is>
      </c>
      <c r="O465" t="n">
        <v>-90</v>
      </c>
      <c r="P465" t="n">
        <v>0.02249</v>
      </c>
      <c r="Q465" t="n">
        <v>90</v>
      </c>
      <c r="R465" t="n">
        <v>0.1042</v>
      </c>
      <c r="S465">
        <f>IMAGE("https://mitra.stanford.edu/kundaje/oak/projects/neuro-variants/variant_position/credible/roussos_2024/variant_figures/roussos_2024.infant.GLU/rs11027838_count_position.png",4,220,900)</f>
        <v/>
      </c>
      <c r="T465">
        <f>IMAGE("https://mitra.stanford.edu/kundaje/oak/projects/neuro-variants/variant_position/credible/roussos_2024/variant_figures/roussos_2024.infant.GLU/rs11027838_profile_position.png",4,220,900)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0.0819159758</v>
      </c>
      <c r="G466" t="n">
        <v>0.0746161902109424</v>
      </c>
      <c r="H466" t="n">
        <v>0.0115050049449512</v>
      </c>
      <c r="I466" t="n">
        <v>0.6006167594752976</v>
      </c>
      <c r="J466" t="n">
        <v>0.1044291099891972</v>
      </c>
      <c r="K466" t="n">
        <v>0.2141815746323101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0.02542</v>
      </c>
      <c r="Q466" t="n">
        <v>-70</v>
      </c>
      <c r="R466" t="n">
        <v>0.1667</v>
      </c>
      <c r="S466">
        <f>IMAGE("https://mitra.stanford.edu/kundaje/oak/projects/neuro-variants/variant_position/credible/roussos_2024/variant_figures/roussos_2024.infant.GLU/rs72875837_count_position.png",4,220,900)</f>
        <v/>
      </c>
      <c r="T466">
        <f>IMAGE("https://mitra.stanford.edu/kundaje/oak/projects/neuro-variants/variant_position/credible/roussos_2024/variant_figures/roussos_2024.infant.GLU/rs72875837_profile_position.png",4,220,900)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-0.00757435388</v>
      </c>
      <c r="G467" t="n">
        <v>0.6332175572467059</v>
      </c>
      <c r="H467" t="n">
        <v>0.0110859578770501</v>
      </c>
      <c r="I467" t="n">
        <v>0.6390383976456985</v>
      </c>
      <c r="J467" t="n">
        <v>0.0012147534116712</v>
      </c>
      <c r="K467" t="n">
        <v>0.9088678236442576</v>
      </c>
      <c r="L467" t="b">
        <v>0</v>
      </c>
      <c r="M467" t="b">
        <v>0</v>
      </c>
      <c r="N467" t="inlineStr">
        <is>
          <t>ref</t>
        </is>
      </c>
      <c r="O467" t="n">
        <v>-5</v>
      </c>
      <c r="P467" t="n">
        <v>0.001251</v>
      </c>
      <c r="Q467" t="n">
        <v>25</v>
      </c>
      <c r="R467" t="n">
        <v>0.01917</v>
      </c>
      <c r="S467">
        <f>IMAGE("https://mitra.stanford.edu/kundaje/oak/projects/neuro-variants/variant_position/credible/roussos_2024/variant_figures/roussos_2024.infant.GLU/rs1470279_count_position.png",4,220,900)</f>
        <v/>
      </c>
      <c r="T467">
        <f>IMAGE("https://mitra.stanford.edu/kundaje/oak/projects/neuro-variants/variant_position/credible/roussos_2024/variant_figures/roussos_2024.infant.GLU/rs1470279_profile_position.png",4,220,900)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0.0277525496</v>
      </c>
      <c r="G468" t="n">
        <v>0.3337006243983666</v>
      </c>
      <c r="H468" t="n">
        <v>0.0067203523963485</v>
      </c>
      <c r="I468" t="n">
        <v>0.9635629649398072</v>
      </c>
      <c r="J468" t="n">
        <v>0.0885877113692982</v>
      </c>
      <c r="K468" t="n">
        <v>0.2354296150919488</v>
      </c>
      <c r="L468" t="b">
        <v>0</v>
      </c>
      <c r="M468" t="b">
        <v>0</v>
      </c>
      <c r="N468" t="inlineStr">
        <is>
          <t>alt</t>
        </is>
      </c>
      <c r="O468" t="n">
        <v>80</v>
      </c>
      <c r="P468" t="n">
        <v>0.06104</v>
      </c>
      <c r="Q468" t="n">
        <v>90</v>
      </c>
      <c r="R468" t="n">
        <v>0.2974</v>
      </c>
      <c r="S468">
        <f>IMAGE("https://mitra.stanford.edu/kundaje/oak/projects/neuro-variants/variant_position/credible/roussos_2024/variant_figures/roussos_2024.infant.GLU/rs35846200_count_position.png",4,220,900)</f>
        <v/>
      </c>
      <c r="T468">
        <f>IMAGE("https://mitra.stanford.edu/kundaje/oak/projects/neuro-variants/variant_position/credible/roussos_2024/variant_figures/roussos_2024.infant.GLU/rs35846200_profile_position.png",4,220,900)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0.01992273128</v>
      </c>
      <c r="G469" t="n">
        <v>0.4458364195578972</v>
      </c>
      <c r="H469" t="n">
        <v>0.008616379624303601</v>
      </c>
      <c r="I469" t="n">
        <v>0.8526593507062395</v>
      </c>
      <c r="J469" t="n">
        <v>0.1192321259287021</v>
      </c>
      <c r="K469" t="n">
        <v>0.1885312735028115</v>
      </c>
      <c r="L469" t="b">
        <v>0</v>
      </c>
      <c r="M469" t="b">
        <v>0</v>
      </c>
      <c r="N469" t="inlineStr">
        <is>
          <t>alt</t>
        </is>
      </c>
      <c r="O469" t="n">
        <v>-95</v>
      </c>
      <c r="P469" t="n">
        <v>0.01097</v>
      </c>
      <c r="Q469" t="n">
        <v>100</v>
      </c>
      <c r="R469" t="n">
        <v>0.115</v>
      </c>
      <c r="S469">
        <f>IMAGE("https://mitra.stanford.edu/kundaje/oak/projects/neuro-variants/variant_position/credible/roussos_2024/variant_figures/roussos_2024.infant.GLU/rs11027859_count_position.png",4,220,900)</f>
        <v/>
      </c>
      <c r="T469">
        <f>IMAGE("https://mitra.stanford.edu/kundaje/oak/projects/neuro-variants/variant_position/credible/roussos_2024/variant_figures/roussos_2024.infant.GLU/rs11027859_profile_position.png",4,220,900)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0.2471216499999999</v>
      </c>
      <c r="G470" t="n">
        <v>0.0057211038334938</v>
      </c>
      <c r="H470" t="n">
        <v>0.0467091325303296</v>
      </c>
      <c r="I470" t="n">
        <v>0.0106302594208692</v>
      </c>
      <c r="J470" t="n">
        <v>0.2080645516876474</v>
      </c>
      <c r="K470" t="n">
        <v>0.1039604154788879</v>
      </c>
      <c r="L470" t="b">
        <v>1</v>
      </c>
      <c r="M470" t="b">
        <v>1</v>
      </c>
      <c r="N470" t="inlineStr">
        <is>
          <t>alt</t>
        </is>
      </c>
      <c r="O470" t="n">
        <v>-80</v>
      </c>
      <c r="P470" t="n">
        <v>0.02325</v>
      </c>
      <c r="Q470" t="n">
        <v>-100</v>
      </c>
      <c r="R470" t="n">
        <v>0.0459</v>
      </c>
      <c r="S470">
        <f>IMAGE("https://mitra.stanford.edu/kundaje/oak/projects/neuro-variants/variant_position/credible/roussos_2024/variant_figures/roussos_2024.infant.GLU/rs11027983_count_position.png",4,220,900)</f>
        <v/>
      </c>
      <c r="T470">
        <f>IMAGE("https://mitra.stanford.edu/kundaje/oak/projects/neuro-variants/variant_position/credible/roussos_2024/variant_figures/roussos_2024.infant.GLU/rs11027983_profile_position.png",4,220,900)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-0.131987942</v>
      </c>
      <c r="G471" t="n">
        <v>0.0275222537339857</v>
      </c>
      <c r="H471" t="n">
        <v>0.0225215181537956</v>
      </c>
      <c r="I471" t="n">
        <v>0.1340043545081813</v>
      </c>
      <c r="J471" t="n">
        <v>0.1666956943495226</v>
      </c>
      <c r="K471" t="n">
        <v>0.1318702918994587</v>
      </c>
      <c r="L471" t="b">
        <v>0</v>
      </c>
      <c r="M471" t="b">
        <v>0</v>
      </c>
      <c r="N471" t="inlineStr">
        <is>
          <t>ref</t>
        </is>
      </c>
      <c r="O471" t="n">
        <v>-100</v>
      </c>
      <c r="P471" t="n">
        <v>0.02809</v>
      </c>
      <c r="Q471" t="n">
        <v>-100</v>
      </c>
      <c r="R471" t="n">
        <v>0.1934</v>
      </c>
      <c r="S471">
        <f>IMAGE("https://mitra.stanford.edu/kundaje/oak/projects/neuro-variants/variant_position/credible/roussos_2024/variant_figures/roussos_2024.infant.GLU/rs1396844_count_position.png",4,220,900)</f>
        <v/>
      </c>
      <c r="T471">
        <f>IMAGE("https://mitra.stanford.edu/kundaje/oak/projects/neuro-variants/variant_position/credible/roussos_2024/variant_figures/roussos_2024.infant.GLU/rs1396844_profile_position.png",4,220,900)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0.0251157581999999</v>
      </c>
      <c r="G472" t="n">
        <v>0.367916703445759</v>
      </c>
      <c r="H472" t="n">
        <v>0.0160040462366283</v>
      </c>
      <c r="I472" t="n">
        <v>0.312233396862985</v>
      </c>
      <c r="J472" t="n">
        <v>0.0239290989660265</v>
      </c>
      <c r="K472" t="n">
        <v>0.5175841707300813</v>
      </c>
      <c r="L472" t="b">
        <v>0</v>
      </c>
      <c r="M472" t="b">
        <v>0</v>
      </c>
      <c r="N472" t="inlineStr">
        <is>
          <t>alt</t>
        </is>
      </c>
      <c r="O472" t="n">
        <v>-80</v>
      </c>
      <c r="P472" t="n">
        <v>0.002243</v>
      </c>
      <c r="Q472" t="n">
        <v>-85</v>
      </c>
      <c r="R472" t="n">
        <v>0.0619</v>
      </c>
      <c r="S472">
        <f>IMAGE("https://mitra.stanford.edu/kundaje/oak/projects/neuro-variants/variant_position/credible/roussos_2024/variant_figures/roussos_2024.infant.GLU/rs11028002_count_position.png",4,220,900)</f>
        <v/>
      </c>
      <c r="T472">
        <f>IMAGE("https://mitra.stanford.edu/kundaje/oak/projects/neuro-variants/variant_position/credible/roussos_2024/variant_figures/roussos_2024.infant.GLU/rs11028002_profile_position.png",4,220,900)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-0.160604946</v>
      </c>
      <c r="G473" t="n">
        <v>0.0187641093118229</v>
      </c>
      <c r="H473" t="n">
        <v>0.0287307535009033</v>
      </c>
      <c r="I473" t="n">
        <v>0.0662019325298329</v>
      </c>
      <c r="J473" t="n">
        <v>0.1272944729822085</v>
      </c>
      <c r="K473" t="n">
        <v>0.1694642349294441</v>
      </c>
      <c r="L473" t="b">
        <v>1</v>
      </c>
      <c r="M473" t="b">
        <v>0</v>
      </c>
      <c r="N473" t="inlineStr">
        <is>
          <t>ref</t>
        </is>
      </c>
      <c r="O473" t="n">
        <v>-95</v>
      </c>
      <c r="P473" t="n">
        <v>0.0479</v>
      </c>
      <c r="Q473" t="n">
        <v>45</v>
      </c>
      <c r="R473" t="n">
        <v>0.1973</v>
      </c>
      <c r="S473">
        <f>IMAGE("https://mitra.stanford.edu/kundaje/oak/projects/neuro-variants/variant_position/credible/roussos_2024/variant_figures/roussos_2024.infant.GLU/rs11028007_count_position.png",4,220,900)</f>
        <v/>
      </c>
      <c r="T473">
        <f>IMAGE("https://mitra.stanford.edu/kundaje/oak/projects/neuro-variants/variant_position/credible/roussos_2024/variant_figures/roussos_2024.infant.GLU/rs11028007_profile_position.png",4,220,900)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0.0831080304</v>
      </c>
      <c r="G474" t="n">
        <v>0.0783834765325211</v>
      </c>
      <c r="H474" t="n">
        <v>0.0119931466892964</v>
      </c>
      <c r="I474" t="n">
        <v>0.5326000702866088</v>
      </c>
      <c r="J474" t="n">
        <v>0.1522277827994444</v>
      </c>
      <c r="K474" t="n">
        <v>0.1429575976065551</v>
      </c>
      <c r="L474" t="b">
        <v>0</v>
      </c>
      <c r="M474" t="b">
        <v>0</v>
      </c>
      <c r="N474" t="inlineStr">
        <is>
          <t>alt</t>
        </is>
      </c>
      <c r="O474" t="n">
        <v>-90</v>
      </c>
      <c r="P474" t="n">
        <v>0.001648</v>
      </c>
      <c r="Q474" t="n">
        <v>10</v>
      </c>
      <c r="R474" t="n">
        <v>0.01416</v>
      </c>
      <c r="S474">
        <f>IMAGE("https://mitra.stanford.edu/kundaje/oak/projects/neuro-variants/variant_position/credible/roussos_2024/variant_figures/roussos_2024.infant.GLU/rs10834383_count_position.png",4,220,900)</f>
        <v/>
      </c>
      <c r="T474">
        <f>IMAGE("https://mitra.stanford.edu/kundaje/oak/projects/neuro-variants/variant_position/credible/roussos_2024/variant_figures/roussos_2024.infant.GLU/rs10834383_profile_position.png",4,220,900)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-0.135286994</v>
      </c>
      <c r="G475" t="n">
        <v>0.0266179042666361</v>
      </c>
      <c r="H475" t="n">
        <v>0.0189503028049919</v>
      </c>
      <c r="I475" t="n">
        <v>0.2116721393077529</v>
      </c>
      <c r="J475" t="n">
        <v>0.07105205141206811</v>
      </c>
      <c r="K475" t="n">
        <v>0.2740527195316986</v>
      </c>
      <c r="L475" t="b">
        <v>0</v>
      </c>
      <c r="M475" t="b">
        <v>0</v>
      </c>
      <c r="N475" t="inlineStr">
        <is>
          <t>ref</t>
        </is>
      </c>
      <c r="O475" t="n">
        <v>100</v>
      </c>
      <c r="P475" t="n">
        <v>0.11615</v>
      </c>
      <c r="Q475" t="n">
        <v>100</v>
      </c>
      <c r="R475" t="n">
        <v>0.0895</v>
      </c>
      <c r="S475">
        <f>IMAGE("https://mitra.stanford.edu/kundaje/oak/projects/neuro-variants/variant_position/credible/roussos_2024/variant_figures/roussos_2024.infant.GLU/rs1509611_count_position.png",4,220,900)</f>
        <v/>
      </c>
      <c r="T475">
        <f>IMAGE("https://mitra.stanford.edu/kundaje/oak/projects/neuro-variants/variant_position/credible/roussos_2024/variant_figures/roussos_2024.infant.GLU/rs1509611_profile_position.png",4,220,900)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0.054532286</v>
      </c>
      <c r="G476" t="n">
        <v>0.1420347562970673</v>
      </c>
      <c r="H476" t="n">
        <v>0.0069964009646616</v>
      </c>
      <c r="I476" t="n">
        <v>0.9641209881383236</v>
      </c>
      <c r="J476" t="n">
        <v>0.0223560925064485</v>
      </c>
      <c r="K476" t="n">
        <v>0.5137979045319385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0.0664</v>
      </c>
      <c r="Q476" t="n">
        <v>95</v>
      </c>
      <c r="R476" t="n">
        <v>0.09</v>
      </c>
      <c r="S476">
        <f>IMAGE("https://mitra.stanford.edu/kundaje/oak/projects/neuro-variants/variant_position/credible/roussos_2024/variant_figures/roussos_2024.infant.GLU/rs11028012_count_position.png",4,220,900)</f>
        <v/>
      </c>
      <c r="T476">
        <f>IMAGE("https://mitra.stanford.edu/kundaje/oak/projects/neuro-variants/variant_position/credible/roussos_2024/variant_figures/roussos_2024.infant.GLU/rs11028012_profile_position.png",4,220,900)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-0.0099303226999999</v>
      </c>
      <c r="G477" t="n">
        <v>0.6475672978464398</v>
      </c>
      <c r="H477" t="n">
        <v>0.0577650371886792</v>
      </c>
      <c r="I477" t="n">
        <v>0.0037902842902242</v>
      </c>
      <c r="J477" t="n">
        <v>0.0769957450561078</v>
      </c>
      <c r="K477" t="n">
        <v>0.2538129385309671</v>
      </c>
      <c r="L477" t="b">
        <v>1</v>
      </c>
      <c r="M477" t="b">
        <v>1</v>
      </c>
      <c r="N477" t="inlineStr">
        <is>
          <t>ref</t>
        </is>
      </c>
      <c r="O477" t="n">
        <v>-95</v>
      </c>
      <c r="P477" t="n">
        <v>0.04144</v>
      </c>
      <c r="Q477" t="n">
        <v>-100</v>
      </c>
      <c r="R477" t="n">
        <v>0.2018</v>
      </c>
      <c r="S477">
        <f>IMAGE("https://mitra.stanford.edu/kundaje/oak/projects/neuro-variants/variant_position/credible/roussos_2024/variant_figures/roussos_2024.infant.GLU/rs1509615_count_position.png",4,220,900)</f>
        <v/>
      </c>
      <c r="T477">
        <f>IMAGE("https://mitra.stanford.edu/kundaje/oak/projects/neuro-variants/variant_position/credible/roussos_2024/variant_figures/roussos_2024.infant.GLU/rs1509615_profile_position.png",4,220,900)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-0.002792341696</v>
      </c>
      <c r="G478" t="n">
        <v>0.8604106850335802</v>
      </c>
      <c r="H478" t="n">
        <v>0.007892792191358401</v>
      </c>
      <c r="I478" t="n">
        <v>0.9133135841531594</v>
      </c>
      <c r="J478" t="n">
        <v>0.0816287837033443</v>
      </c>
      <c r="K478" t="n">
        <v>0.2437955416934255</v>
      </c>
      <c r="L478" t="b">
        <v>0</v>
      </c>
      <c r="M478" t="b">
        <v>0</v>
      </c>
      <c r="N478" t="inlineStr">
        <is>
          <t>ref</t>
        </is>
      </c>
      <c r="O478" t="n">
        <v>5</v>
      </c>
      <c r="P478" t="n">
        <v>0.006042</v>
      </c>
      <c r="Q478" t="n">
        <v>-100</v>
      </c>
      <c r="R478" t="n">
        <v>0.07580000000000001</v>
      </c>
      <c r="S478">
        <f>IMAGE("https://mitra.stanford.edu/kundaje/oak/projects/neuro-variants/variant_position/credible/roussos_2024/variant_figures/roussos_2024.infant.GLU/rs6484058_count_position.png",4,220,900)</f>
        <v/>
      </c>
      <c r="T478">
        <f>IMAGE("https://mitra.stanford.edu/kundaje/oak/projects/neuro-variants/variant_position/credible/roussos_2024/variant_figures/roussos_2024.infant.GLU/rs6484058_profile_position.png",4,220,900)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0.075443965</v>
      </c>
      <c r="G479" t="n">
        <v>0.0846514703508587</v>
      </c>
      <c r="H479" t="n">
        <v>0.0138239827459968</v>
      </c>
      <c r="I479" t="n">
        <v>0.4267579782709272</v>
      </c>
      <c r="J479" t="n">
        <v>0.1647346722811349</v>
      </c>
      <c r="K479" t="n">
        <v>0.1351369193488059</v>
      </c>
      <c r="L479" t="b">
        <v>0</v>
      </c>
      <c r="M479" t="b">
        <v>0</v>
      </c>
      <c r="N479" t="inlineStr">
        <is>
          <t>alt</t>
        </is>
      </c>
      <c r="O479" t="n">
        <v>-100</v>
      </c>
      <c r="P479" t="n">
        <v>0.002357</v>
      </c>
      <c r="Q479" t="n">
        <v>70</v>
      </c>
      <c r="R479" t="n">
        <v>0.08495999999999999</v>
      </c>
      <c r="S479">
        <f>IMAGE("https://mitra.stanford.edu/kundaje/oak/projects/neuro-variants/variant_position/credible/roussos_2024/variant_figures/roussos_2024.infant.GLU/rs11028020_count_position.png",4,220,900)</f>
        <v/>
      </c>
      <c r="T479">
        <f>IMAGE("https://mitra.stanford.edu/kundaje/oak/projects/neuro-variants/variant_position/credible/roussos_2024/variant_figures/roussos_2024.infant.GLU/rs11028020_profile_position.png",4,220,900)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-0.0026687077799999</v>
      </c>
      <c r="G480" t="n">
        <v>0.8311295628137566</v>
      </c>
      <c r="H480" t="n">
        <v>0.0331778269869211</v>
      </c>
      <c r="I480" t="n">
        <v>0.0409145850683518</v>
      </c>
      <c r="J480" t="n">
        <v>0.2424425141647743</v>
      </c>
      <c r="K480" t="n">
        <v>0.08796989686150659</v>
      </c>
      <c r="L480" t="b">
        <v>0</v>
      </c>
      <c r="M480" t="b">
        <v>0</v>
      </c>
      <c r="N480" t="inlineStr">
        <is>
          <t>ref</t>
        </is>
      </c>
      <c r="O480" t="n">
        <v>-75</v>
      </c>
      <c r="P480" t="n">
        <v>0.012054</v>
      </c>
      <c r="Q480" t="n">
        <v>100</v>
      </c>
      <c r="R480" t="n">
        <v>0.062</v>
      </c>
      <c r="S480">
        <f>IMAGE("https://mitra.stanford.edu/kundaje/oak/projects/neuro-variants/variant_position/credible/roussos_2024/variant_figures/roussos_2024.infant.GLU/rs34167424_count_position.png",4,220,900)</f>
        <v/>
      </c>
      <c r="T480">
        <f>IMAGE("https://mitra.stanford.edu/kundaje/oak/projects/neuro-variants/variant_position/credible/roussos_2024/variant_figures/roussos_2024.infant.GLU/rs34167424_profile_position.png",4,220,900)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0.0338916146</v>
      </c>
      <c r="G481" t="n">
        <v>0.2715292406509256</v>
      </c>
      <c r="H481" t="n">
        <v>0.0492923890915233</v>
      </c>
      <c r="I481" t="n">
        <v>0.0081161927235155</v>
      </c>
      <c r="J481" t="n">
        <v>0.0287803963932184</v>
      </c>
      <c r="K481" t="n">
        <v>0.4601747612837192</v>
      </c>
      <c r="L481" t="b">
        <v>1</v>
      </c>
      <c r="M481" t="b">
        <v>0</v>
      </c>
      <c r="N481" t="inlineStr">
        <is>
          <t>alt</t>
        </is>
      </c>
      <c r="O481" t="n">
        <v>15</v>
      </c>
      <c r="P481" t="n">
        <v>0.003742</v>
      </c>
      <c r="Q481" t="n">
        <v>-5</v>
      </c>
      <c r="R481" t="n">
        <v>0.00421</v>
      </c>
      <c r="S481">
        <f>IMAGE("https://mitra.stanford.edu/kundaje/oak/projects/neuro-variants/variant_position/credible/roussos_2024/variant_figures/roussos_2024.infant.GLU/rs1876822_count_position.png",4,220,900)</f>
        <v/>
      </c>
      <c r="T481">
        <f>IMAGE("https://mitra.stanford.edu/kundaje/oak/projects/neuro-variants/variant_position/credible/roussos_2024/variant_figures/roussos_2024.infant.GLU/rs1876822_profile_position.png",4,220,900)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-0.040414376</v>
      </c>
      <c r="G482" t="n">
        <v>0.2246119822202558</v>
      </c>
      <c r="H482" t="n">
        <v>0.0408486057953684</v>
      </c>
      <c r="I482" t="n">
        <v>0.0184192166334957</v>
      </c>
      <c r="J482" t="n">
        <v>0.334096871624154</v>
      </c>
      <c r="K482" t="n">
        <v>0.0585802808542152</v>
      </c>
      <c r="L482" t="b">
        <v>1</v>
      </c>
      <c r="M482" t="b">
        <v>0</v>
      </c>
      <c r="N482" t="inlineStr">
        <is>
          <t>ref</t>
        </is>
      </c>
      <c r="O482" t="n">
        <v>100</v>
      </c>
      <c r="P482" t="n">
        <v>0.0334</v>
      </c>
      <c r="Q482" t="n">
        <v>-35</v>
      </c>
      <c r="R482" t="n">
        <v>0.09155000000000001</v>
      </c>
      <c r="S482">
        <f>IMAGE("https://mitra.stanford.edu/kundaje/oak/projects/neuro-variants/variant_position/credible/roussos_2024/variant_figures/roussos_2024.infant.GLU/rs1509588_count_position.png",4,220,900)</f>
        <v/>
      </c>
      <c r="T482">
        <f>IMAGE("https://mitra.stanford.edu/kundaje/oak/projects/neuro-variants/variant_position/credible/roussos_2024/variant_figures/roussos_2024.infant.GLU/rs1509588_profile_position.png",4,220,900)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0.0312710577999999</v>
      </c>
      <c r="G483" t="n">
        <v>0.3030636599382189</v>
      </c>
      <c r="H483" t="n">
        <v>0.038318430364708</v>
      </c>
      <c r="I483" t="n">
        <v>0.0238804559869388</v>
      </c>
      <c r="J483" t="n">
        <v>0.4101159637558146</v>
      </c>
      <c r="K483" t="n">
        <v>0.0434570558135059</v>
      </c>
      <c r="L483" t="b">
        <v>0</v>
      </c>
      <c r="M483" t="b">
        <v>0</v>
      </c>
      <c r="N483" t="inlineStr">
        <is>
          <t>alt</t>
        </is>
      </c>
      <c r="O483" t="n">
        <v>-25</v>
      </c>
      <c r="P483" t="n">
        <v>0.005737</v>
      </c>
      <c r="Q483" t="n">
        <v>-5</v>
      </c>
      <c r="R483" t="n">
        <v>0.010254</v>
      </c>
      <c r="S483">
        <f>IMAGE("https://mitra.stanford.edu/kundaje/oak/projects/neuro-variants/variant_position/credible/roussos_2024/variant_figures/roussos_2024.infant.GLU/rs10834390_count_position.png",4,220,900)</f>
        <v/>
      </c>
      <c r="T483">
        <f>IMAGE("https://mitra.stanford.edu/kundaje/oak/projects/neuro-variants/variant_position/credible/roussos_2024/variant_figures/roussos_2024.infant.GLU/rs10834390_profile_position.png",4,220,900)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0.179177702</v>
      </c>
      <c r="G484" t="n">
        <v>0.0149306461680972</v>
      </c>
      <c r="H484" t="n">
        <v>0.0308881367852304</v>
      </c>
      <c r="I484" t="n">
        <v>0.0548547204455833</v>
      </c>
      <c r="J484" t="n">
        <v>0.0432207500165347</v>
      </c>
      <c r="K484" t="n">
        <v>0.3691500254458497</v>
      </c>
      <c r="L484" t="b">
        <v>1</v>
      </c>
      <c r="M484" t="b">
        <v>0</v>
      </c>
      <c r="N484" t="inlineStr">
        <is>
          <t>alt</t>
        </is>
      </c>
      <c r="O484" t="n">
        <v>-100</v>
      </c>
      <c r="P484" t="n">
        <v>0.01292</v>
      </c>
      <c r="Q484" t="n">
        <v>35</v>
      </c>
      <c r="R484" t="n">
        <v>0.1171</v>
      </c>
      <c r="S484">
        <f>IMAGE("https://mitra.stanford.edu/kundaje/oak/projects/neuro-variants/variant_position/credible/roussos_2024/variant_figures/roussos_2024.infant.GLU/rs10767214_count_position.png",4,220,900)</f>
        <v/>
      </c>
      <c r="T484">
        <f>IMAGE("https://mitra.stanford.edu/kundaje/oak/projects/neuro-variants/variant_position/credible/roussos_2024/variant_figures/roussos_2024.infant.GLU/rs10767214_profile_position.png",4,220,900)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0.0035591258799999</v>
      </c>
      <c r="G485" t="n">
        <v>0.4939422815534157</v>
      </c>
      <c r="H485" t="n">
        <v>0.0136994502545478</v>
      </c>
      <c r="I485" t="n">
        <v>0.4359295168397078</v>
      </c>
      <c r="J485" t="n">
        <v>0.0496759187812782</v>
      </c>
      <c r="K485" t="n">
        <v>0.3478299567006807</v>
      </c>
      <c r="L485" t="b">
        <v>0</v>
      </c>
      <c r="M485" t="b">
        <v>0</v>
      </c>
      <c r="N485" t="inlineStr">
        <is>
          <t>alt</t>
        </is>
      </c>
      <c r="O485" t="n">
        <v>50</v>
      </c>
      <c r="P485" t="n">
        <v>0.01247</v>
      </c>
      <c r="Q485" t="n">
        <v>35</v>
      </c>
      <c r="R485" t="n">
        <v>0.06042</v>
      </c>
      <c r="S485">
        <f>IMAGE("https://mitra.stanford.edu/kundaje/oak/projects/neuro-variants/variant_position/credible/roussos_2024/variant_figures/roussos_2024.infant.GLU/rs7118822_count_position.png",4,220,900)</f>
        <v/>
      </c>
      <c r="T485">
        <f>IMAGE("https://mitra.stanford.edu/kundaje/oak/projects/neuro-variants/variant_position/credible/roussos_2024/variant_figures/roussos_2024.infant.GLU/rs7118822_profile_position.png",4,220,900)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-0.21010178</v>
      </c>
      <c r="G486" t="n">
        <v>0.0095558552430703</v>
      </c>
      <c r="H486" t="n">
        <v>0.0308111807501402</v>
      </c>
      <c r="I486" t="n">
        <v>0.0565870988221529</v>
      </c>
      <c r="J486" t="n">
        <v>0.0060252651072554</v>
      </c>
      <c r="K486" t="n">
        <v>0.7597306944050304</v>
      </c>
      <c r="L486" t="b">
        <v>1</v>
      </c>
      <c r="M486" t="b">
        <v>1</v>
      </c>
      <c r="N486" t="inlineStr">
        <is>
          <t>ref</t>
        </is>
      </c>
      <c r="O486" t="n">
        <v>65</v>
      </c>
      <c r="P486" t="n">
        <v>0.0224</v>
      </c>
      <c r="Q486" t="n">
        <v>-40</v>
      </c>
      <c r="R486" t="n">
        <v>0.0536</v>
      </c>
      <c r="S486">
        <f>IMAGE("https://mitra.stanford.edu/kundaje/oak/projects/neuro-variants/variant_position/credible/roussos_2024/variant_figures/roussos_2024.infant.GLU/rs1396842_count_position.png",4,220,900)</f>
        <v/>
      </c>
      <c r="T486">
        <f>IMAGE("https://mitra.stanford.edu/kundaje/oak/projects/neuro-variants/variant_position/credible/roussos_2024/variant_figures/roussos_2024.infant.GLU/rs1396842_profile_position.png",4,220,900)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0.0036784590042</v>
      </c>
      <c r="G487" t="n">
        <v>0.7008179457019269</v>
      </c>
      <c r="H487" t="n">
        <v>0.0155779193277699</v>
      </c>
      <c r="I487" t="n">
        <v>0.3310696499549634</v>
      </c>
      <c r="J487" t="n">
        <v>0.0435503428206088</v>
      </c>
      <c r="K487" t="n">
        <v>0.3809633674671533</v>
      </c>
      <c r="L487" t="b">
        <v>0</v>
      </c>
      <c r="M487" t="b">
        <v>0</v>
      </c>
      <c r="N487" t="inlineStr">
        <is>
          <t>alt</t>
        </is>
      </c>
      <c r="O487" t="n">
        <v>-25</v>
      </c>
      <c r="P487" t="n">
        <v>0.005753</v>
      </c>
      <c r="Q487" t="n">
        <v>95</v>
      </c>
      <c r="R487" t="n">
        <v>0.0522</v>
      </c>
      <c r="S487">
        <f>IMAGE("https://mitra.stanford.edu/kundaje/oak/projects/neuro-variants/variant_position/credible/roussos_2024/variant_figures/roussos_2024.infant.GLU/rs7113337_count_position.png",4,220,900)</f>
        <v/>
      </c>
      <c r="T487">
        <f>IMAGE("https://mitra.stanford.edu/kundaje/oak/projects/neuro-variants/variant_position/credible/roussos_2024/variant_figures/roussos_2024.infant.GLU/rs7113337_profile_position.png",4,220,900)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-0.021672026</v>
      </c>
      <c r="G488" t="n">
        <v>0.4327678222428878</v>
      </c>
      <c r="H488" t="n">
        <v>0.0073159318279134</v>
      </c>
      <c r="I488" t="n">
        <v>0.946119990933766</v>
      </c>
      <c r="J488" t="n">
        <v>0.0213133005577723</v>
      </c>
      <c r="K488" t="n">
        <v>0.5229233196072781</v>
      </c>
      <c r="L488" t="b">
        <v>0</v>
      </c>
      <c r="M488" t="b">
        <v>0</v>
      </c>
      <c r="N488" t="inlineStr">
        <is>
          <t>ref</t>
        </is>
      </c>
      <c r="O488" t="n">
        <v>-100</v>
      </c>
      <c r="P488" t="n">
        <v>0.0501</v>
      </c>
      <c r="Q488" t="n">
        <v>100</v>
      </c>
      <c r="R488" t="n">
        <v>0.04565</v>
      </c>
      <c r="S488">
        <f>IMAGE("https://mitra.stanford.edu/kundaje/oak/projects/neuro-variants/variant_position/credible/roussos_2024/variant_figures/roussos_2024.infant.GLU/rs11606190_count_position.png",4,220,900)</f>
        <v/>
      </c>
      <c r="T488">
        <f>IMAGE("https://mitra.stanford.edu/kundaje/oak/projects/neuro-variants/variant_position/credible/roussos_2024/variant_figures/roussos_2024.infant.GLU/rs11606190_profile_position.png",4,220,900)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-0.04208636</v>
      </c>
      <c r="G489" t="n">
        <v>0.2162833359088742</v>
      </c>
      <c r="H489" t="n">
        <v>0.0341546875074376</v>
      </c>
      <c r="I489" t="n">
        <v>0.0370032966522972</v>
      </c>
      <c r="J489" t="n">
        <v>0.0323265504089595</v>
      </c>
      <c r="K489" t="n">
        <v>0.4348840790175852</v>
      </c>
      <c r="L489" t="b">
        <v>0</v>
      </c>
      <c r="M489" t="b">
        <v>0</v>
      </c>
      <c r="N489" t="inlineStr">
        <is>
          <t>ref</t>
        </is>
      </c>
      <c r="O489" t="n">
        <v>100</v>
      </c>
      <c r="P489" t="n">
        <v>0.05917</v>
      </c>
      <c r="Q489" t="n">
        <v>55</v>
      </c>
      <c r="R489" t="n">
        <v>0.1608</v>
      </c>
      <c r="S489">
        <f>IMAGE("https://mitra.stanford.edu/kundaje/oak/projects/neuro-variants/variant_position/credible/roussos_2024/variant_figures/roussos_2024.infant.GLU/rs12273233_count_position.png",4,220,900)</f>
        <v/>
      </c>
      <c r="T489">
        <f>IMAGE("https://mitra.stanford.edu/kundaje/oak/projects/neuro-variants/variant_position/credible/roussos_2024/variant_figures/roussos_2024.infant.GLU/rs12273233_profile_position.png",4,220,900)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0.0069315557</v>
      </c>
      <c r="G490" t="n">
        <v>0.5335914649821429</v>
      </c>
      <c r="H490" t="n">
        <v>0.0307931906463052</v>
      </c>
      <c r="I490" t="n">
        <v>0.0528541121252153</v>
      </c>
      <c r="J490" t="n">
        <v>0.0360854516193037</v>
      </c>
      <c r="K490" t="n">
        <v>0.4111986396292843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0.0575</v>
      </c>
      <c r="Q490" t="n">
        <v>-45</v>
      </c>
      <c r="R490" t="n">
        <v>0.08935999999999999</v>
      </c>
      <c r="S490">
        <f>IMAGE("https://mitra.stanford.edu/kundaje/oak/projects/neuro-variants/variant_position/credible/roussos_2024/variant_figures/roussos_2024.infant.GLU/rs12292666_count_position.png",4,220,900)</f>
        <v/>
      </c>
      <c r="T490">
        <f>IMAGE("https://mitra.stanford.edu/kundaje/oak/projects/neuro-variants/variant_position/credible/roussos_2024/variant_figures/roussos_2024.infant.GLU/rs12292666_profile_position.png",4,220,900)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0.17283598</v>
      </c>
      <c r="G491" t="n">
        <v>0.0144126441252754</v>
      </c>
      <c r="H491" t="n">
        <v>0.0327747899342388</v>
      </c>
      <c r="I491" t="n">
        <v>0.042591283582587</v>
      </c>
      <c r="J491" t="n">
        <v>0.2580899049802685</v>
      </c>
      <c r="K491" t="n">
        <v>0.081327750517495</v>
      </c>
      <c r="L491" t="b">
        <v>1</v>
      </c>
      <c r="M491" t="b">
        <v>0</v>
      </c>
      <c r="N491" t="inlineStr">
        <is>
          <t>alt</t>
        </is>
      </c>
      <c r="O491" t="n">
        <v>90</v>
      </c>
      <c r="P491" t="n">
        <v>0.04596</v>
      </c>
      <c r="Q491" t="n">
        <v>-70</v>
      </c>
      <c r="R491" t="n">
        <v>0.02441</v>
      </c>
      <c r="S491">
        <f>IMAGE("https://mitra.stanford.edu/kundaje/oak/projects/neuro-variants/variant_position/credible/roussos_2024/variant_figures/roussos_2024.infant.GLU/rs12278238_count_position.png",4,220,900)</f>
        <v/>
      </c>
      <c r="T491">
        <f>IMAGE("https://mitra.stanford.edu/kundaje/oak/projects/neuro-variants/variant_position/credible/roussos_2024/variant_figures/roussos_2024.infant.GLU/rs12278238_profile_position.png",4,220,900)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0.0100198737999999</v>
      </c>
      <c r="G492" t="n">
        <v>0.6225703539462167</v>
      </c>
      <c r="H492" t="n">
        <v>0.0344719967395008</v>
      </c>
      <c r="I492" t="n">
        <v>0.0357842145195454</v>
      </c>
      <c r="J492" t="n">
        <v>0.0362761524724971</v>
      </c>
      <c r="K492" t="n">
        <v>0.4193721915794318</v>
      </c>
      <c r="L492" t="b">
        <v>0</v>
      </c>
      <c r="M492" t="b">
        <v>0</v>
      </c>
      <c r="N492" t="inlineStr">
        <is>
          <t>alt</t>
        </is>
      </c>
      <c r="O492" t="n">
        <v>-55</v>
      </c>
      <c r="P492" t="n">
        <v>0.00476</v>
      </c>
      <c r="Q492" t="n">
        <v>25</v>
      </c>
      <c r="R492" t="n">
        <v>0.0536</v>
      </c>
      <c r="S492">
        <f>IMAGE("https://mitra.stanford.edu/kundaje/oak/projects/neuro-variants/variant_position/credible/roussos_2024/variant_figures/roussos_2024.infant.GLU/rs113123159_count_position.png",4,220,900)</f>
        <v/>
      </c>
      <c r="T492">
        <f>IMAGE("https://mitra.stanford.edu/kundaje/oak/projects/neuro-variants/variant_position/credible/roussos_2024/variant_figures/roussos_2024.infant.GLU/rs113123159_profile_position.png",4,220,900)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0.0205423117</v>
      </c>
      <c r="G493" t="n">
        <v>0.4268858667365733</v>
      </c>
      <c r="H493" t="n">
        <v>0.010072521348532</v>
      </c>
      <c r="I493" t="n">
        <v>0.7233536169625419</v>
      </c>
      <c r="J493" t="n">
        <v>0.1102030468043827</v>
      </c>
      <c r="K493" t="n">
        <v>0.2144322669087244</v>
      </c>
      <c r="L493" t="b">
        <v>0</v>
      </c>
      <c r="M493" t="b">
        <v>0</v>
      </c>
      <c r="N493" t="inlineStr">
        <is>
          <t>alt</t>
        </is>
      </c>
      <c r="O493" t="n">
        <v>-55</v>
      </c>
      <c r="P493" t="n">
        <v>0.01776</v>
      </c>
      <c r="Q493" t="n">
        <v>100</v>
      </c>
      <c r="R493" t="n">
        <v>0.0862</v>
      </c>
      <c r="S493">
        <f>IMAGE("https://mitra.stanford.edu/kundaje/oak/projects/neuro-variants/variant_position/credible/roussos_2024/variant_figures/roussos_2024.infant.GLU/rs17244352_count_position.png",4,220,900)</f>
        <v/>
      </c>
      <c r="T493">
        <f>IMAGE("https://mitra.stanford.edu/kundaje/oak/projects/neuro-variants/variant_position/credible/roussos_2024/variant_figures/roussos_2024.infant.GLU/rs17244352_profile_position.png",4,220,900)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0.086774379</v>
      </c>
      <c r="G494" t="n">
        <v>0.0635297567031273</v>
      </c>
      <c r="H494" t="n">
        <v>0.0122910562092587</v>
      </c>
      <c r="I494" t="n">
        <v>0.5358234823065462</v>
      </c>
      <c r="J494" t="n">
        <v>0.0734418748208734</v>
      </c>
      <c r="K494" t="n">
        <v>0.2652861579219019</v>
      </c>
      <c r="L494" t="b">
        <v>0</v>
      </c>
      <c r="M494" t="b">
        <v>0</v>
      </c>
      <c r="N494" t="inlineStr">
        <is>
          <t>alt</t>
        </is>
      </c>
      <c r="O494" t="n">
        <v>-100</v>
      </c>
      <c r="P494" t="n">
        <v>0.01278</v>
      </c>
      <c r="Q494" t="n">
        <v>-25</v>
      </c>
      <c r="R494" t="n">
        <v>0.08450000000000001</v>
      </c>
      <c r="S494">
        <f>IMAGE("https://mitra.stanford.edu/kundaje/oak/projects/neuro-variants/variant_position/credible/roussos_2024/variant_figures/roussos_2024.infant.GLU/rs12284362_count_position.png",4,220,900)</f>
        <v/>
      </c>
      <c r="T494">
        <f>IMAGE("https://mitra.stanford.edu/kundaje/oak/projects/neuro-variants/variant_position/credible/roussos_2024/variant_figures/roussos_2024.infant.GLU/rs12284362_profile_position.png",4,220,900)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-0.0229995042999999</v>
      </c>
      <c r="G495" t="n">
        <v>0.413356470779191</v>
      </c>
      <c r="H495" t="n">
        <v>0.00873785776078</v>
      </c>
      <c r="I495" t="n">
        <v>0.840230371346233</v>
      </c>
      <c r="J495" t="n">
        <v>0.08922154368482541</v>
      </c>
      <c r="K495" t="n">
        <v>0.2268646343804458</v>
      </c>
      <c r="L495" t="b">
        <v>0</v>
      </c>
      <c r="M495" t="b">
        <v>0</v>
      </c>
      <c r="N495" t="inlineStr">
        <is>
          <t>ref</t>
        </is>
      </c>
      <c r="O495" t="n">
        <v>95</v>
      </c>
      <c r="P495" t="n">
        <v>0.03302</v>
      </c>
      <c r="Q495" t="n">
        <v>-85</v>
      </c>
      <c r="R495" t="n">
        <v>0.02585</v>
      </c>
      <c r="S495">
        <f>IMAGE("https://mitra.stanford.edu/kundaje/oak/projects/neuro-variants/variant_position/credible/roussos_2024/variant_figures/roussos_2024.infant.GLU/rs11030238_count_position.png",4,220,900)</f>
        <v/>
      </c>
      <c r="T495">
        <f>IMAGE("https://mitra.stanford.edu/kundaje/oak/projects/neuro-variants/variant_position/credible/roussos_2024/variant_figures/roussos_2024.infant.GLU/rs11030238_profile_position.png",4,220,900)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0.0256236313999999</v>
      </c>
      <c r="G496" t="n">
        <v>0.3571492985403302</v>
      </c>
      <c r="H496" t="n">
        <v>0.0319389014245717</v>
      </c>
      <c r="I496" t="n">
        <v>0.0475142314746231</v>
      </c>
      <c r="J496" t="n">
        <v>0.2231199982362926</v>
      </c>
      <c r="K496" t="n">
        <v>0.0989240723625716</v>
      </c>
      <c r="L496" t="b">
        <v>0</v>
      </c>
      <c r="M496" t="b">
        <v>0</v>
      </c>
      <c r="N496" t="inlineStr">
        <is>
          <t>alt</t>
        </is>
      </c>
      <c r="O496" t="n">
        <v>90</v>
      </c>
      <c r="P496" t="n">
        <v>0.1178</v>
      </c>
      <c r="Q496" t="n">
        <v>80</v>
      </c>
      <c r="R496" t="n">
        <v>0.062</v>
      </c>
      <c r="S496">
        <f>IMAGE("https://mitra.stanford.edu/kundaje/oak/projects/neuro-variants/variant_position/credible/roussos_2024/variant_figures/roussos_2024.infant.GLU/rs11030247_count_position.png",4,220,900)</f>
        <v/>
      </c>
      <c r="T496">
        <f>IMAGE("https://mitra.stanford.edu/kundaje/oak/projects/neuro-variants/variant_position/credible/roussos_2024/variant_figures/roussos_2024.infant.GLU/rs11030247_profile_position.png",4,220,900)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0.0806429212</v>
      </c>
      <c r="G497" t="n">
        <v>0.07337291625984679</v>
      </c>
      <c r="H497" t="n">
        <v>0.0117421254903875</v>
      </c>
      <c r="I497" t="n">
        <v>0.5734291970770361</v>
      </c>
      <c r="J497" t="n">
        <v>0.0294825723671156</v>
      </c>
      <c r="K497" t="n">
        <v>0.4677876263681633</v>
      </c>
      <c r="L497" t="b">
        <v>0</v>
      </c>
      <c r="M497" t="b">
        <v>0</v>
      </c>
      <c r="N497" t="inlineStr">
        <is>
          <t>alt</t>
        </is>
      </c>
      <c r="O497" t="n">
        <v>85</v>
      </c>
      <c r="P497" t="n">
        <v>0.02719</v>
      </c>
      <c r="Q497" t="n">
        <v>100</v>
      </c>
      <c r="R497" t="n">
        <v>0.1554</v>
      </c>
      <c r="S497">
        <f>IMAGE("https://mitra.stanford.edu/kundaje/oak/projects/neuro-variants/variant_position/credible/roussos_2024/variant_figures/roussos_2024.infant.GLU/rs6484357_count_position.png",4,220,900)</f>
        <v/>
      </c>
      <c r="T497">
        <f>IMAGE("https://mitra.stanford.edu/kundaje/oak/projects/neuro-variants/variant_position/credible/roussos_2024/variant_figures/roussos_2024.infant.GLU/rs6484357_profile_position.png",4,220,900)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0.0717903028</v>
      </c>
      <c r="G498" t="n">
        <v>0.0970466385548574</v>
      </c>
      <c r="H498" t="n">
        <v>0.0245623235419358</v>
      </c>
      <c r="I498" t="n">
        <v>0.106647451890224</v>
      </c>
      <c r="J498" t="n">
        <v>0.1947606869639983</v>
      </c>
      <c r="K498" t="n">
        <v>0.112487969917768</v>
      </c>
      <c r="L498" t="b">
        <v>0</v>
      </c>
      <c r="M498" t="b">
        <v>0</v>
      </c>
      <c r="N498" t="inlineStr">
        <is>
          <t>alt</t>
        </is>
      </c>
      <c r="O498" t="n">
        <v>20</v>
      </c>
      <c r="P498" t="n">
        <v>0.005608</v>
      </c>
      <c r="Q498" t="n">
        <v>35</v>
      </c>
      <c r="R498" t="n">
        <v>0.0659</v>
      </c>
      <c r="S498">
        <f>IMAGE("https://mitra.stanford.edu/kundaje/oak/projects/neuro-variants/variant_position/credible/roussos_2024/variant_figures/roussos_2024.infant.GLU/rs11030297_count_position.png",4,220,900)</f>
        <v/>
      </c>
      <c r="T498">
        <f>IMAGE("https://mitra.stanford.edu/kundaje/oak/projects/neuro-variants/variant_position/credible/roussos_2024/variant_figures/roussos_2024.infant.GLU/rs11030297_profile_position.png",4,220,900)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-0.0391968674</v>
      </c>
      <c r="G499" t="n">
        <v>0.2338081134349282</v>
      </c>
      <c r="H499" t="n">
        <v>0.0111878938849255</v>
      </c>
      <c r="I499" t="n">
        <v>0.629451645701924</v>
      </c>
      <c r="J499" t="n">
        <v>0.0601225776582375</v>
      </c>
      <c r="K499" t="n">
        <v>0.3138150575025359</v>
      </c>
      <c r="L499" t="b">
        <v>0</v>
      </c>
      <c r="M499" t="b">
        <v>0</v>
      </c>
      <c r="N499" t="inlineStr">
        <is>
          <t>ref</t>
        </is>
      </c>
      <c r="O499" t="n">
        <v>100</v>
      </c>
      <c r="P499" t="n">
        <v>0.010864</v>
      </c>
      <c r="Q499" t="n">
        <v>-60</v>
      </c>
      <c r="R499" t="n">
        <v>0.03906</v>
      </c>
      <c r="S499">
        <f>IMAGE("https://mitra.stanford.edu/kundaje/oak/projects/neuro-variants/variant_position/credible/roussos_2024/variant_figures/roussos_2024.infant.GLU/rs7124325_count_position.png",4,220,900)</f>
        <v/>
      </c>
      <c r="T499">
        <f>IMAGE("https://mitra.stanford.edu/kundaje/oak/projects/neuro-variants/variant_position/credible/roussos_2024/variant_figures/roussos_2024.infant.GLU/rs7124325_profile_position.png",4,220,900)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0.0495586382</v>
      </c>
      <c r="G500" t="n">
        <v>0.1690699323800951</v>
      </c>
      <c r="H500" t="n">
        <v>0.0322624587195242</v>
      </c>
      <c r="I500" t="n">
        <v>0.0459589433603672</v>
      </c>
      <c r="J500" t="n">
        <v>0.002988381578077</v>
      </c>
      <c r="K500" t="n">
        <v>0.8144628264393144</v>
      </c>
      <c r="L500" t="b">
        <v>0</v>
      </c>
      <c r="M500" t="b">
        <v>0</v>
      </c>
      <c r="N500" t="inlineStr">
        <is>
          <t>alt</t>
        </is>
      </c>
      <c r="O500" t="n">
        <v>-65</v>
      </c>
      <c r="P500" t="n">
        <v>0.009520000000000001</v>
      </c>
      <c r="Q500" t="n">
        <v>-60</v>
      </c>
      <c r="R500" t="n">
        <v>0.1443</v>
      </c>
      <c r="S500">
        <f>IMAGE("https://mitra.stanford.edu/kundaje/oak/projects/neuro-variants/variant_position/credible/roussos_2024/variant_figures/roussos_2024.infant.GLU/rs11030309_count_position.png",4,220,900)</f>
        <v/>
      </c>
      <c r="T500">
        <f>IMAGE("https://mitra.stanford.edu/kundaje/oak/projects/neuro-variants/variant_position/credible/roussos_2024/variant_figures/roussos_2024.infant.GLU/rs11030309_profile_position.png",4,220,900)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0.0304527399999999</v>
      </c>
      <c r="G501" t="n">
        <v>0.3070394519019681</v>
      </c>
      <c r="H501" t="n">
        <v>0.009975701188345501</v>
      </c>
      <c r="I501" t="n">
        <v>0.7419131147688596</v>
      </c>
      <c r="J501" t="n">
        <v>0.0791485702947595</v>
      </c>
      <c r="K501" t="n">
        <v>0.2539114870701958</v>
      </c>
      <c r="L501" t="b">
        <v>0</v>
      </c>
      <c r="M501" t="b">
        <v>0</v>
      </c>
      <c r="N501" t="inlineStr">
        <is>
          <t>alt</t>
        </is>
      </c>
      <c r="O501" t="n">
        <v>-20</v>
      </c>
      <c r="P501" t="n">
        <v>0.003082</v>
      </c>
      <c r="Q501" t="n">
        <v>45</v>
      </c>
      <c r="R501" t="n">
        <v>0.04034</v>
      </c>
      <c r="S501">
        <f>IMAGE("https://mitra.stanford.edu/kundaje/oak/projects/neuro-variants/variant_position/credible/roussos_2024/variant_figures/roussos_2024.infant.GLU/rs10835321_count_position.png",4,220,900)</f>
        <v/>
      </c>
      <c r="T501">
        <f>IMAGE("https://mitra.stanford.edu/kundaje/oak/projects/neuro-variants/variant_position/credible/roussos_2024/variant_figures/roussos_2024.infant.GLU/rs10835321_profile_position.png",4,220,900)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-0.0307342577999999</v>
      </c>
      <c r="G502" t="n">
        <v>0.3110235252298011</v>
      </c>
      <c r="H502" t="n">
        <v>0.0530725257207826</v>
      </c>
      <c r="I502" t="n">
        <v>0.005655727452192</v>
      </c>
      <c r="J502" t="n">
        <v>0.008365484247889</v>
      </c>
      <c r="K502" t="n">
        <v>0.6985858277083011</v>
      </c>
      <c r="L502" t="b">
        <v>0</v>
      </c>
      <c r="M502" t="b">
        <v>0</v>
      </c>
      <c r="N502" t="inlineStr">
        <is>
          <t>ref</t>
        </is>
      </c>
      <c r="O502" t="n">
        <v>5</v>
      </c>
      <c r="P502" t="n">
        <v>0.0006713999999999999</v>
      </c>
      <c r="Q502" t="n">
        <v>-25</v>
      </c>
      <c r="R502" t="n">
        <v>0.01238</v>
      </c>
      <c r="S502">
        <f>IMAGE("https://mitra.stanford.edu/kundaje/oak/projects/neuro-variants/variant_position/credible/roussos_2024/variant_figures/roussos_2024.infant.GLU/rs4923535_count_position.png",4,220,900)</f>
        <v/>
      </c>
      <c r="T502">
        <f>IMAGE("https://mitra.stanford.edu/kundaje/oak/projects/neuro-variants/variant_position/credible/roussos_2024/variant_figures/roussos_2024.infant.GLU/rs4923535_profile_position.png",4,220,900)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0.01007922776</v>
      </c>
      <c r="G503" t="n">
        <v>0.6024376146722202</v>
      </c>
      <c r="H503" t="n">
        <v>0.0255726207340891</v>
      </c>
      <c r="I503" t="n">
        <v>0.09501851290518271</v>
      </c>
      <c r="J503" t="n">
        <v>0.0048843669393063</v>
      </c>
      <c r="K503" t="n">
        <v>0.7548709701112323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0.05164</v>
      </c>
      <c r="Q503" t="n">
        <v>-100</v>
      </c>
      <c r="R503" t="n">
        <v>0.0617</v>
      </c>
      <c r="S503">
        <f>IMAGE("https://mitra.stanford.edu/kundaje/oak/projects/neuro-variants/variant_position/credible/roussos_2024/variant_figures/roussos_2024.infant.GLU/rs11030323_count_position.png",4,220,900)</f>
        <v/>
      </c>
      <c r="T503">
        <f>IMAGE("https://mitra.stanford.edu/kundaje/oak/projects/neuro-variants/variant_position/credible/roussos_2024/variant_figures/roussos_2024.infant.GLU/rs11030323_profile_position.png",4,220,900)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-0.1159162642</v>
      </c>
      <c r="G504" t="n">
        <v>0.0376360757366815</v>
      </c>
      <c r="H504" t="n">
        <v>0.0187756938975478</v>
      </c>
      <c r="I504" t="n">
        <v>0.214658371015796</v>
      </c>
      <c r="J504" t="n">
        <v>0.0763442756674529</v>
      </c>
      <c r="K504" t="n">
        <v>0.2572272281283616</v>
      </c>
      <c r="L504" t="b">
        <v>0</v>
      </c>
      <c r="M504" t="b">
        <v>0</v>
      </c>
      <c r="N504" t="inlineStr">
        <is>
          <t>ref</t>
        </is>
      </c>
      <c r="O504" t="n">
        <v>55</v>
      </c>
      <c r="P504" t="n">
        <v>0.00437</v>
      </c>
      <c r="Q504" t="n">
        <v>70</v>
      </c>
      <c r="R504" t="n">
        <v>0.1066</v>
      </c>
      <c r="S504">
        <f>IMAGE("https://mitra.stanford.edu/kundaje/oak/projects/neuro-variants/variant_position/credible/roussos_2024/variant_figures/roussos_2024.infant.GLU/rs7931626_count_position.png",4,220,900)</f>
        <v/>
      </c>
      <c r="T504">
        <f>IMAGE("https://mitra.stanford.edu/kundaje/oak/projects/neuro-variants/variant_position/credible/roussos_2024/variant_figures/roussos_2024.infant.GLU/rs7931626_profile_position.png",4,220,900)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0.01379019278</v>
      </c>
      <c r="G505" t="n">
        <v>0.5230283238115588</v>
      </c>
      <c r="H505" t="n">
        <v>0.0324867534320992</v>
      </c>
      <c r="I505" t="n">
        <v>0.0445149023717546</v>
      </c>
      <c r="J505" t="n">
        <v>0.0507109945104609</v>
      </c>
      <c r="K505" t="n">
        <v>0.3389828444495731</v>
      </c>
      <c r="L505" t="b">
        <v>0</v>
      </c>
      <c r="M505" t="b">
        <v>0</v>
      </c>
      <c r="N505" t="inlineStr">
        <is>
          <t>alt</t>
        </is>
      </c>
      <c r="O505" t="n">
        <v>-80</v>
      </c>
      <c r="P505" t="n">
        <v>0.01276</v>
      </c>
      <c r="Q505" t="n">
        <v>-80</v>
      </c>
      <c r="R505" t="n">
        <v>0.1006</v>
      </c>
      <c r="S505">
        <f>IMAGE("https://mitra.stanford.edu/kundaje/oak/projects/neuro-variants/variant_position/credible/roussos_2024/variant_figures/roussos_2024.infant.GLU/rs11030324_count_position.png",4,220,900)</f>
        <v/>
      </c>
      <c r="T505">
        <f>IMAGE("https://mitra.stanford.edu/kundaje/oak/projects/neuro-variants/variant_position/credible/roussos_2024/variant_figures/roussos_2024.infant.GLU/rs11030324_profile_position.png",4,220,900)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0.0189827182</v>
      </c>
      <c r="G506" t="n">
        <v>0.4055421001972481</v>
      </c>
      <c r="H506" t="n">
        <v>0.0140974596101637</v>
      </c>
      <c r="I506" t="n">
        <v>0.4089627045730273</v>
      </c>
      <c r="J506" t="n">
        <v>0.0316816949227275</v>
      </c>
      <c r="K506" t="n">
        <v>0.4526292947632467</v>
      </c>
      <c r="L506" t="b">
        <v>0</v>
      </c>
      <c r="M506" t="b">
        <v>0</v>
      </c>
      <c r="N506" t="inlineStr">
        <is>
          <t>alt</t>
        </is>
      </c>
      <c r="O506" t="n">
        <v>-95</v>
      </c>
      <c r="P506" t="n">
        <v>0.01459</v>
      </c>
      <c r="Q506" t="n">
        <v>-100</v>
      </c>
      <c r="R506" t="n">
        <v>0.1384</v>
      </c>
      <c r="S506">
        <f>IMAGE("https://mitra.stanford.edu/kundaje/oak/projects/neuro-variants/variant_position/credible/roussos_2024/variant_figures/roussos_2024.infant.GLU/rs11030331_count_position.png",4,220,900)</f>
        <v/>
      </c>
      <c r="T506">
        <f>IMAGE("https://mitra.stanford.edu/kundaje/oak/projects/neuro-variants/variant_position/credible/roussos_2024/variant_figures/roussos_2024.infant.GLU/rs11030331_profile_position.png",4,220,900)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-0.018730788</v>
      </c>
      <c r="G507" t="n">
        <v>0.4679114299422757</v>
      </c>
      <c r="H507" t="n">
        <v>0.0101959976561362</v>
      </c>
      <c r="I507" t="n">
        <v>0.6905304759917716</v>
      </c>
      <c r="J507" t="n">
        <v>0.0428206089199497</v>
      </c>
      <c r="K507" t="n">
        <v>0.4305131154207538</v>
      </c>
      <c r="L507" t="b">
        <v>0</v>
      </c>
      <c r="M507" t="b">
        <v>0</v>
      </c>
      <c r="N507" t="inlineStr">
        <is>
          <t>ref</t>
        </is>
      </c>
      <c r="O507" t="n">
        <v>50</v>
      </c>
      <c r="P507" t="n">
        <v>0.013275</v>
      </c>
      <c r="Q507" t="n">
        <v>-90</v>
      </c>
      <c r="R507" t="n">
        <v>0.10254</v>
      </c>
      <c r="S507">
        <f>IMAGE("https://mitra.stanford.edu/kundaje/oak/projects/neuro-variants/variant_position/credible/roussos_2024/variant_figures/roussos_2024.infant.GLU/rs4543974_count_position.png",4,220,900)</f>
        <v/>
      </c>
      <c r="T507">
        <f>IMAGE("https://mitra.stanford.edu/kundaje/oak/projects/neuro-variants/variant_position/credible/roussos_2024/variant_figures/roussos_2024.infant.GLU/rs4543974_profile_position.png",4,220,900)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-0.1046073669999999</v>
      </c>
      <c r="G508" t="n">
        <v>0.0453414538956512</v>
      </c>
      <c r="H508" t="n">
        <v>0.0163874778184769</v>
      </c>
      <c r="I508" t="n">
        <v>0.29472977975498</v>
      </c>
      <c r="J508" t="n">
        <v>0.0414713728256795</v>
      </c>
      <c r="K508" t="n">
        <v>0.3796871202031467</v>
      </c>
      <c r="L508" t="b">
        <v>0</v>
      </c>
      <c r="M508" t="b">
        <v>0</v>
      </c>
      <c r="N508" t="inlineStr">
        <is>
          <t>ref</t>
        </is>
      </c>
      <c r="O508" t="n">
        <v>10</v>
      </c>
      <c r="P508" t="n">
        <v>0.02515</v>
      </c>
      <c r="Q508" t="n">
        <v>60</v>
      </c>
      <c r="R508" t="n">
        <v>0.06714000000000001</v>
      </c>
      <c r="S508">
        <f>IMAGE("https://mitra.stanford.edu/kundaje/oak/projects/neuro-variants/variant_position/credible/roussos_2024/variant_figures/roussos_2024.infant.GLU/rs10767724_count_position.png",4,220,900)</f>
        <v/>
      </c>
      <c r="T508">
        <f>IMAGE("https://mitra.stanford.edu/kundaje/oak/projects/neuro-variants/variant_position/credible/roussos_2024/variant_figures/roussos_2024.infant.GLU/rs10767724_profile_position.png",4,220,900)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0.06660136999999999</v>
      </c>
      <c r="G509" t="n">
        <v>0.1027086444567872</v>
      </c>
      <c r="H509" t="n">
        <v>0.0211109423362971</v>
      </c>
      <c r="I509" t="n">
        <v>0.1600983569995093</v>
      </c>
      <c r="J509" t="n">
        <v>0.0430576070901033</v>
      </c>
      <c r="K509" t="n">
        <v>0.3802681530637131</v>
      </c>
      <c r="L509" t="b">
        <v>0</v>
      </c>
      <c r="M509" t="b">
        <v>0</v>
      </c>
      <c r="N509" t="inlineStr">
        <is>
          <t>alt</t>
        </is>
      </c>
      <c r="O509" t="n">
        <v>-80</v>
      </c>
      <c r="P509" t="n">
        <v>0.09656000000000001</v>
      </c>
      <c r="Q509" t="n">
        <v>-50</v>
      </c>
      <c r="R509" t="n">
        <v>0.1294</v>
      </c>
      <c r="S509">
        <f>IMAGE("https://mitra.stanford.edu/kundaje/oak/projects/neuro-variants/variant_position/credible/roussos_2024/variant_figures/roussos_2024.infant.GLU/rs10835338_count_position.png",4,220,900)</f>
        <v/>
      </c>
      <c r="T509">
        <f>IMAGE("https://mitra.stanford.edu/kundaje/oak/projects/neuro-variants/variant_position/credible/roussos_2024/variant_figures/roussos_2024.infant.GLU/rs10835338_profile_position.png",4,220,900)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-0.0205798733999999</v>
      </c>
      <c r="G510" t="n">
        <v>0.4257447844465271</v>
      </c>
      <c r="H510" t="n">
        <v>0.0132001366360281</v>
      </c>
      <c r="I510" t="n">
        <v>0.469053983637863</v>
      </c>
      <c r="J510" t="n">
        <v>0.009483233757357899</v>
      </c>
      <c r="K510" t="n">
        <v>0.6656392839429885</v>
      </c>
      <c r="L510" t="b">
        <v>0</v>
      </c>
      <c r="M510" t="b">
        <v>0</v>
      </c>
      <c r="N510" t="inlineStr">
        <is>
          <t>ref</t>
        </is>
      </c>
      <c r="O510" t="n">
        <v>5</v>
      </c>
      <c r="P510" t="n">
        <v>0.001427</v>
      </c>
      <c r="Q510" t="n">
        <v>20</v>
      </c>
      <c r="R510" t="n">
        <v>0.05096</v>
      </c>
      <c r="S510">
        <f>IMAGE("https://mitra.stanford.edu/kundaje/oak/projects/neuro-variants/variant_position/credible/roussos_2024/variant_figures/roussos_2024.infant.GLU/rs10767725_count_position.png",4,220,900)</f>
        <v/>
      </c>
      <c r="T510">
        <f>IMAGE("https://mitra.stanford.edu/kundaje/oak/projects/neuro-variants/variant_position/credible/roussos_2024/variant_figures/roussos_2024.infant.GLU/rs10767725_profile_position.png",4,220,900)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-0.159680914</v>
      </c>
      <c r="G511" t="n">
        <v>0.0178927491375879</v>
      </c>
      <c r="H511" t="n">
        <v>0.0181884920627667</v>
      </c>
      <c r="I511" t="n">
        <v>0.2335267162292173</v>
      </c>
      <c r="J511" t="n">
        <v>0.0234848651866222</v>
      </c>
      <c r="K511" t="n">
        <v>0.5047930617252065</v>
      </c>
      <c r="L511" t="b">
        <v>1</v>
      </c>
      <c r="M511" t="b">
        <v>0</v>
      </c>
      <c r="N511" t="inlineStr">
        <is>
          <t>ref</t>
        </is>
      </c>
      <c r="O511" t="n">
        <v>-55</v>
      </c>
      <c r="P511" t="n">
        <v>0.06824</v>
      </c>
      <c r="Q511" t="n">
        <v>-50</v>
      </c>
      <c r="R511" t="n">
        <v>0.0859</v>
      </c>
      <c r="S511">
        <f>IMAGE("https://mitra.stanford.edu/kundaje/oak/projects/neuro-variants/variant_position/credible/roussos_2024/variant_figures/roussos_2024.infant.GLU/rs11030341_count_position.png",4,220,900)</f>
        <v/>
      </c>
      <c r="T511">
        <f>IMAGE("https://mitra.stanford.edu/kundaje/oak/projects/neuro-variants/variant_position/credible/roussos_2024/variant_figures/roussos_2024.infant.GLU/rs11030341_profile_position.png",4,220,900)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0.01534317714</v>
      </c>
      <c r="G512" t="n">
        <v>0.5153749290502986</v>
      </c>
      <c r="H512" t="n">
        <v>0.0487928373624299</v>
      </c>
      <c r="I512" t="n">
        <v>0.008446036234106899</v>
      </c>
      <c r="J512" t="n">
        <v>0.0219757931171321</v>
      </c>
      <c r="K512" t="n">
        <v>0.5256475449881722</v>
      </c>
      <c r="L512" t="b">
        <v>1</v>
      </c>
      <c r="M512" t="b">
        <v>0</v>
      </c>
      <c r="N512" t="inlineStr">
        <is>
          <t>alt</t>
        </is>
      </c>
      <c r="O512" t="n">
        <v>70</v>
      </c>
      <c r="P512" t="n">
        <v>0.04535</v>
      </c>
      <c r="Q512" t="n">
        <v>70</v>
      </c>
      <c r="R512" t="n">
        <v>0.1244</v>
      </c>
      <c r="S512">
        <f>IMAGE("https://mitra.stanford.edu/kundaje/oak/projects/neuro-variants/variant_position/credible/roussos_2024/variant_figures/roussos_2024.infant.GLU/rs7130732_count_position.png",4,220,900)</f>
        <v/>
      </c>
      <c r="T512">
        <f>IMAGE("https://mitra.stanford.edu/kundaje/oak/projects/neuro-variants/variant_position/credible/roussos_2024/variant_figures/roussos_2024.infant.GLU/rs7130732_profile_position.png",4,220,900)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-0.06355499019999999</v>
      </c>
      <c r="G513" t="n">
        <v>0.1148149032879578</v>
      </c>
      <c r="H513" t="n">
        <v>0.015898762847671</v>
      </c>
      <c r="I513" t="n">
        <v>0.3172707593861248</v>
      </c>
      <c r="J513" t="n">
        <v>0.0170815053241914</v>
      </c>
      <c r="K513" t="n">
        <v>0.5644552804898327</v>
      </c>
      <c r="L513" t="b">
        <v>0</v>
      </c>
      <c r="M513" t="b">
        <v>0</v>
      </c>
      <c r="N513" t="inlineStr">
        <is>
          <t>ref</t>
        </is>
      </c>
      <c r="O513" t="n">
        <v>-55</v>
      </c>
      <c r="P513" t="n">
        <v>0.006847</v>
      </c>
      <c r="Q513" t="n">
        <v>-80</v>
      </c>
      <c r="R513" t="n">
        <v>0.11584</v>
      </c>
      <c r="S513">
        <f>IMAGE("https://mitra.stanford.edu/kundaje/oak/projects/neuro-variants/variant_position/credible/roussos_2024/variant_figures/roussos_2024.infant.GLU/rs7105555_count_position.png",4,220,900)</f>
        <v/>
      </c>
      <c r="T513">
        <f>IMAGE("https://mitra.stanford.edu/kundaje/oak/projects/neuro-variants/variant_position/credible/roussos_2024/variant_figures/roussos_2024.infant.GLU/rs7105555_profile_position.png",4,220,900)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-0.099030645</v>
      </c>
      <c r="G514" t="n">
        <v>0.0523657255954901</v>
      </c>
      <c r="H514" t="n">
        <v>0.0136031791417452</v>
      </c>
      <c r="I514" t="n">
        <v>0.4436098779991125</v>
      </c>
      <c r="J514" t="n">
        <v>0.008469102052514299</v>
      </c>
      <c r="K514" t="n">
        <v>0.6829951131462006</v>
      </c>
      <c r="L514" t="b">
        <v>0</v>
      </c>
      <c r="M514" t="b">
        <v>0</v>
      </c>
      <c r="N514" t="inlineStr">
        <is>
          <t>ref</t>
        </is>
      </c>
      <c r="O514" t="n">
        <v>-95</v>
      </c>
      <c r="P514" t="n">
        <v>0.01</v>
      </c>
      <c r="Q514" t="n">
        <v>-30</v>
      </c>
      <c r="R514" t="n">
        <v>0.01282</v>
      </c>
      <c r="S514">
        <f>IMAGE("https://mitra.stanford.edu/kundaje/oak/projects/neuro-variants/variant_position/credible/roussos_2024/variant_figures/roussos_2024.infant.GLU/rs11603115_count_position.png",4,220,900)</f>
        <v/>
      </c>
      <c r="T514">
        <f>IMAGE("https://mitra.stanford.edu/kundaje/oak/projects/neuro-variants/variant_position/credible/roussos_2024/variant_figures/roussos_2024.infant.GLU/rs11603115_profile_position.png",4,220,900)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-0.0192261928</v>
      </c>
      <c r="G515" t="n">
        <v>0.459645196355176</v>
      </c>
      <c r="H515" t="n">
        <v>0.0151223039805445</v>
      </c>
      <c r="I515" t="n">
        <v>0.3565038399702132</v>
      </c>
      <c r="J515" t="n">
        <v>0.0167089221543684</v>
      </c>
      <c r="K515" t="n">
        <v>0.5786546466843415</v>
      </c>
      <c r="L515" t="b">
        <v>0</v>
      </c>
      <c r="M515" t="b">
        <v>0</v>
      </c>
      <c r="N515" t="inlineStr">
        <is>
          <t>ref</t>
        </is>
      </c>
      <c r="O515" t="n">
        <v>-75</v>
      </c>
      <c r="P515" t="n">
        <v>0.004105</v>
      </c>
      <c r="Q515" t="n">
        <v>30</v>
      </c>
      <c r="R515" t="n">
        <v>0.1335</v>
      </c>
      <c r="S515">
        <f>IMAGE("https://mitra.stanford.edu/kundaje/oak/projects/neuro-variants/variant_position/credible/roussos_2024/variant_figures/roussos_2024.infant.GLU/rs1811450_count_position.png",4,220,900)</f>
        <v/>
      </c>
      <c r="T515">
        <f>IMAGE("https://mitra.stanford.edu/kundaje/oak/projects/neuro-variants/variant_position/credible/roussos_2024/variant_figures/roussos_2024.infant.GLU/rs1811450_profile_position.png",4,220,900)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-0.10882439</v>
      </c>
      <c r="G516" t="n">
        <v>0.0416410809115035</v>
      </c>
      <c r="H516" t="n">
        <v>0.0174787083692169</v>
      </c>
      <c r="I516" t="n">
        <v>0.2558258558573149</v>
      </c>
      <c r="J516" t="n">
        <v>0.2656551070349875</v>
      </c>
      <c r="K516" t="n">
        <v>0.0793074288530209</v>
      </c>
      <c r="L516" t="b">
        <v>0</v>
      </c>
      <c r="M516" t="b">
        <v>0</v>
      </c>
      <c r="N516" t="inlineStr">
        <is>
          <t>ref</t>
        </is>
      </c>
      <c r="O516" t="n">
        <v>-100</v>
      </c>
      <c r="P516" t="n">
        <v>0.1156</v>
      </c>
      <c r="Q516" t="n">
        <v>80</v>
      </c>
      <c r="R516" t="n">
        <v>0.1013</v>
      </c>
      <c r="S516">
        <f>IMAGE("https://mitra.stanford.edu/kundaje/oak/projects/neuro-variants/variant_position/credible/roussos_2024/variant_figures/roussos_2024.infant.GLU/rs2582905_count_position.png",4,220,900)</f>
        <v/>
      </c>
      <c r="T516">
        <f>IMAGE("https://mitra.stanford.edu/kundaje/oak/projects/neuro-variants/variant_position/credible/roussos_2024/variant_figures/roussos_2024.infant.GLU/rs2582905_profile_position.png",4,220,900)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0.0153366991999999</v>
      </c>
      <c r="G517" t="n">
        <v>0.5065315627010828</v>
      </c>
      <c r="H517" t="n">
        <v>0.0473583609645211</v>
      </c>
      <c r="I517" t="n">
        <v>0.0097940524172413</v>
      </c>
      <c r="J517" t="n">
        <v>0.0018970876782997</v>
      </c>
      <c r="K517" t="n">
        <v>0.860083004348169</v>
      </c>
      <c r="L517" t="b">
        <v>0</v>
      </c>
      <c r="M517" t="b">
        <v>0</v>
      </c>
      <c r="N517" t="inlineStr">
        <is>
          <t>alt</t>
        </is>
      </c>
      <c r="O517" t="n">
        <v>-90</v>
      </c>
      <c r="P517" t="n">
        <v>0.01367</v>
      </c>
      <c r="Q517" t="n">
        <v>65</v>
      </c>
      <c r="R517" t="n">
        <v>0.02942</v>
      </c>
      <c r="S517">
        <f>IMAGE("https://mitra.stanford.edu/kundaje/oak/projects/neuro-variants/variant_position/credible/roussos_2024/variant_figures/roussos_2024.infant.GLU/rs2582895_count_position.png",4,220,900)</f>
        <v/>
      </c>
      <c r="T517">
        <f>IMAGE("https://mitra.stanford.edu/kundaje/oak/projects/neuro-variants/variant_position/credible/roussos_2024/variant_figures/roussos_2024.infant.GLU/rs2582895_profile_position.png",4,220,900)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0.010972598868</v>
      </c>
      <c r="G518" t="n">
        <v>0.6153946865194734</v>
      </c>
      <c r="H518" t="n">
        <v>0.01697733570188</v>
      </c>
      <c r="I518" t="n">
        <v>0.2796700404904067</v>
      </c>
      <c r="J518" t="n">
        <v>0.0019555104830352</v>
      </c>
      <c r="K518" t="n">
        <v>0.861705435532882</v>
      </c>
      <c r="L518" t="b">
        <v>0</v>
      </c>
      <c r="M518" t="b">
        <v>0</v>
      </c>
      <c r="N518" t="inlineStr">
        <is>
          <t>alt</t>
        </is>
      </c>
      <c r="O518" t="n">
        <v>-95</v>
      </c>
      <c r="P518" t="n">
        <v>0.009950000000000001</v>
      </c>
      <c r="Q518" t="n">
        <v>-90</v>
      </c>
      <c r="R518" t="n">
        <v>0.03815</v>
      </c>
      <c r="S518">
        <f>IMAGE("https://mitra.stanford.edu/kundaje/oak/projects/neuro-variants/variant_position/credible/roussos_2024/variant_figures/roussos_2024.infant.GLU/rs2585817_count_position.png",4,220,900)</f>
        <v/>
      </c>
      <c r="T518">
        <f>IMAGE("https://mitra.stanford.edu/kundaje/oak/projects/neuro-variants/variant_position/credible/roussos_2024/variant_figures/roussos_2024.infant.GLU/rs2585817_profile_position.png",4,220,900)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-0.172110052</v>
      </c>
      <c r="G519" t="n">
        <v>0.0159144766887959</v>
      </c>
      <c r="H519" t="n">
        <v>0.0447951996318757</v>
      </c>
      <c r="I519" t="n">
        <v>0.0129279886796547</v>
      </c>
      <c r="J519" t="n">
        <v>0.1161048523997442</v>
      </c>
      <c r="K519" t="n">
        <v>0.1831764830413555</v>
      </c>
      <c r="L519" t="b">
        <v>1</v>
      </c>
      <c r="M519" t="b">
        <v>0</v>
      </c>
      <c r="N519" t="inlineStr">
        <is>
          <t>ref</t>
        </is>
      </c>
      <c r="O519" t="n">
        <v>30</v>
      </c>
      <c r="P519" t="n">
        <v>0.01111</v>
      </c>
      <c r="Q519" t="n">
        <v>10</v>
      </c>
      <c r="R519" t="n">
        <v>0.02246</v>
      </c>
      <c r="S519">
        <f>IMAGE("https://mitra.stanford.edu/kundaje/oak/projects/neuro-variants/variant_position/credible/roussos_2024/variant_figures/roussos_2024.infant.GLU/rs2582896_count_position.png",4,220,900)</f>
        <v/>
      </c>
      <c r="T519">
        <f>IMAGE("https://mitra.stanford.edu/kundaje/oak/projects/neuro-variants/variant_position/credible/roussos_2024/variant_figures/roussos_2024.infant.GLU/rs2582896_profile_position.png",4,220,900)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0.0595202588</v>
      </c>
      <c r="G520" t="n">
        <v>0.1464088591917292</v>
      </c>
      <c r="H520" t="n">
        <v>0.0105464580192411</v>
      </c>
      <c r="I520" t="n">
        <v>0.6626707822043142</v>
      </c>
      <c r="J520" t="n">
        <v>0.0504486430476861</v>
      </c>
      <c r="K520" t="n">
        <v>0.3371679123467027</v>
      </c>
      <c r="L520" t="b">
        <v>0</v>
      </c>
      <c r="M520" t="b">
        <v>0</v>
      </c>
      <c r="N520" t="inlineStr">
        <is>
          <t>alt</t>
        </is>
      </c>
      <c r="O520" t="n">
        <v>95</v>
      </c>
      <c r="P520" t="n">
        <v>0.00643</v>
      </c>
      <c r="Q520" t="n">
        <v>-70</v>
      </c>
      <c r="R520" t="n">
        <v>0.1182</v>
      </c>
      <c r="S520">
        <f>IMAGE("https://mitra.stanford.edu/kundaje/oak/projects/neuro-variants/variant_position/credible/roussos_2024/variant_figures/roussos_2024.infant.GLU/rs10742196_count_position.png",4,220,900)</f>
        <v/>
      </c>
      <c r="T520">
        <f>IMAGE("https://mitra.stanford.edu/kundaje/oak/projects/neuro-variants/variant_position/credible/roussos_2024/variant_figures/roussos_2024.infant.GLU/rs10742196_profile_position.png",4,220,900)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-0.0521218573999999</v>
      </c>
      <c r="G521" t="n">
        <v>0.1997063258224548</v>
      </c>
      <c r="H521" t="n">
        <v>0.0117269156131494</v>
      </c>
      <c r="I521" t="n">
        <v>0.5630878009927783</v>
      </c>
      <c r="J521" t="n">
        <v>0.3335104389426574</v>
      </c>
      <c r="K521" t="n">
        <v>0.0607584394154107</v>
      </c>
      <c r="L521" t="b">
        <v>0</v>
      </c>
      <c r="M521" t="b">
        <v>0</v>
      </c>
      <c r="N521" t="inlineStr">
        <is>
          <t>ref</t>
        </is>
      </c>
      <c r="O521" t="n">
        <v>95</v>
      </c>
      <c r="P521" t="n">
        <v>0.006554</v>
      </c>
      <c r="Q521" t="n">
        <v>95</v>
      </c>
      <c r="R521" t="n">
        <v>0.0881</v>
      </c>
      <c r="S521">
        <f>IMAGE("https://mitra.stanford.edu/kundaje/oak/projects/neuro-variants/variant_position/credible/roussos_2024/variant_figures/roussos_2024.infant.GLU/rs11030386_count_position.png",4,220,900)</f>
        <v/>
      </c>
      <c r="T521">
        <f>IMAGE("https://mitra.stanford.edu/kundaje/oak/projects/neuro-variants/variant_position/credible/roussos_2024/variant_figures/roussos_2024.infant.GLU/rs11030386_profile_position.png",4,220,900)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-0.06882390819999989</v>
      </c>
      <c r="G522" t="n">
        <v>0.11136517372964</v>
      </c>
      <c r="H522" t="n">
        <v>0.0192071233489953</v>
      </c>
      <c r="I522" t="n">
        <v>0.2048493204434315</v>
      </c>
      <c r="J522" t="n">
        <v>0.0383297691748054</v>
      </c>
      <c r="K522" t="n">
        <v>0.3964537968482424</v>
      </c>
      <c r="L522" t="b">
        <v>0</v>
      </c>
      <c r="M522" t="b">
        <v>0</v>
      </c>
      <c r="N522" t="inlineStr">
        <is>
          <t>ref</t>
        </is>
      </c>
      <c r="O522" t="n">
        <v>15</v>
      </c>
      <c r="P522" t="n">
        <v>0.0002136</v>
      </c>
      <c r="Q522" t="n">
        <v>25</v>
      </c>
      <c r="R522" t="n">
        <v>0.015205</v>
      </c>
      <c r="S522">
        <f>IMAGE("https://mitra.stanford.edu/kundaje/oak/projects/neuro-variants/variant_position/credible/roussos_2024/variant_figures/roussos_2024.infant.GLU/rs12226518_count_position.png",4,220,900)</f>
        <v/>
      </c>
      <c r="T522">
        <f>IMAGE("https://mitra.stanford.edu/kundaje/oak/projects/neuro-variants/variant_position/credible/roussos_2024/variant_figures/roussos_2024.infant.GLU/rs12226518_profile_position.png",4,220,900)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0.02705563298</v>
      </c>
      <c r="G523" t="n">
        <v>0.1696184163676555</v>
      </c>
      <c r="H523" t="n">
        <v>0.0141780393825278</v>
      </c>
      <c r="I523" t="n">
        <v>0.4132499006140437</v>
      </c>
      <c r="J523" t="n">
        <v>0.0040906986485592</v>
      </c>
      <c r="K523" t="n">
        <v>0.7981142497492175</v>
      </c>
      <c r="L523" t="b">
        <v>0</v>
      </c>
      <c r="M523" t="b">
        <v>0</v>
      </c>
      <c r="N523" t="inlineStr">
        <is>
          <t>alt</t>
        </is>
      </c>
      <c r="O523" t="n">
        <v>70</v>
      </c>
      <c r="P523" t="n">
        <v>0.002228</v>
      </c>
      <c r="Q523" t="n">
        <v>-50</v>
      </c>
      <c r="R523" t="n">
        <v>0.04324</v>
      </c>
      <c r="S523">
        <f>IMAGE("https://mitra.stanford.edu/kundaje/oak/projects/neuro-variants/variant_position/credible/roussos_2024/variant_figures/roussos_2024.infant.GLU/rs10767732_count_position.png",4,220,900)</f>
        <v/>
      </c>
      <c r="T523">
        <f>IMAGE("https://mitra.stanford.edu/kundaje/oak/projects/neuro-variants/variant_position/credible/roussos_2024/variant_figures/roussos_2024.infant.GLU/rs10767732_profile_position.png",4,220,900)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0.0107366328</v>
      </c>
      <c r="G524" t="n">
        <v>0.5515744302422623</v>
      </c>
      <c r="H524" t="n">
        <v>0.0101402729664853</v>
      </c>
      <c r="I524" t="n">
        <v>0.7204510173950032</v>
      </c>
      <c r="J524" t="n">
        <v>0.1109349853391828</v>
      </c>
      <c r="K524" t="n">
        <v>0.1915531949937678</v>
      </c>
      <c r="L524" t="b">
        <v>0</v>
      </c>
      <c r="M524" t="b">
        <v>0</v>
      </c>
      <c r="N524" t="inlineStr">
        <is>
          <t>alt</t>
        </is>
      </c>
      <c r="O524" t="n">
        <v>-100</v>
      </c>
      <c r="P524" t="n">
        <v>0.01627</v>
      </c>
      <c r="Q524" t="n">
        <v>95</v>
      </c>
      <c r="R524" t="n">
        <v>0.251</v>
      </c>
      <c r="S524">
        <f>IMAGE("https://mitra.stanford.edu/kundaje/oak/projects/neuro-variants/variant_position/credible/roussos_2024/variant_figures/roussos_2024.infant.GLU/rs10835368_count_position.png",4,220,900)</f>
        <v/>
      </c>
      <c r="T524">
        <f>IMAGE("https://mitra.stanford.edu/kundaje/oak/projects/neuro-variants/variant_position/credible/roussos_2024/variant_figures/roussos_2024.infant.GLU/rs10835368_profile_position.png",4,220,900)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0.1229948731999999</v>
      </c>
      <c r="G525" t="n">
        <v>0.0324350715833785</v>
      </c>
      <c r="H525" t="n">
        <v>0.039353404150644</v>
      </c>
      <c r="I525" t="n">
        <v>0.0219140714620033</v>
      </c>
      <c r="J525" t="n">
        <v>0.2906810114861438</v>
      </c>
      <c r="K525" t="n">
        <v>0.07137003277240089</v>
      </c>
      <c r="L525" t="b">
        <v>0</v>
      </c>
      <c r="M525" t="b">
        <v>0</v>
      </c>
      <c r="N525" t="inlineStr">
        <is>
          <t>alt</t>
        </is>
      </c>
      <c r="O525" t="n">
        <v>-100</v>
      </c>
      <c r="P525" t="n">
        <v>0.04648</v>
      </c>
      <c r="Q525" t="n">
        <v>95</v>
      </c>
      <c r="R525" t="n">
        <v>0.1504</v>
      </c>
      <c r="S525">
        <f>IMAGE("https://mitra.stanford.edu/kundaje/oak/projects/neuro-variants/variant_position/credible/roussos_2024/variant_figures/roussos_2024.infant.GLU/rs10835373_count_position.png",4,220,900)</f>
        <v/>
      </c>
      <c r="T525">
        <f>IMAGE("https://mitra.stanford.edu/kundaje/oak/projects/neuro-variants/variant_position/credible/roussos_2024/variant_figures/roussos_2024.infant.GLU/rs10835373_profile_position.png",4,220,900)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-0.149720534</v>
      </c>
      <c r="G526" t="n">
        <v>0.0212444648875279</v>
      </c>
      <c r="H526" t="n">
        <v>0.0276097315967557</v>
      </c>
      <c r="I526" t="n">
        <v>0.07506471916706491</v>
      </c>
      <c r="J526" t="n">
        <v>0.1350117947926541</v>
      </c>
      <c r="K526" t="n">
        <v>0.1647343970275831</v>
      </c>
      <c r="L526" t="b">
        <v>0</v>
      </c>
      <c r="M526" t="b">
        <v>0</v>
      </c>
      <c r="N526" t="inlineStr">
        <is>
          <t>ref</t>
        </is>
      </c>
      <c r="O526" t="n">
        <v>100</v>
      </c>
      <c r="P526" t="n">
        <v>0.02138</v>
      </c>
      <c r="Q526" t="n">
        <v>-75</v>
      </c>
      <c r="R526" t="n">
        <v>0.01764</v>
      </c>
      <c r="S526">
        <f>IMAGE("https://mitra.stanford.edu/kundaje/oak/projects/neuro-variants/variant_position/credible/roussos_2024/variant_figures/roussos_2024.infant.GLU/rs11030388_count_position.png",4,220,900)</f>
        <v/>
      </c>
      <c r="T526">
        <f>IMAGE("https://mitra.stanford.edu/kundaje/oak/projects/neuro-variants/variant_position/credible/roussos_2024/variant_figures/roussos_2024.infant.GLU/rs11030388_profile_position.png",4,220,900)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-0.004023331046</v>
      </c>
      <c r="G527" t="n">
        <v>0.78125770383291</v>
      </c>
      <c r="H527" t="n">
        <v>0.0169390059631904</v>
      </c>
      <c r="I527" t="n">
        <v>0.2734857460566944</v>
      </c>
      <c r="J527" t="n">
        <v>0.0065830375449193</v>
      </c>
      <c r="K527" t="n">
        <v>0.7153217782370548</v>
      </c>
      <c r="L527" t="b">
        <v>0</v>
      </c>
      <c r="M527" t="b">
        <v>0</v>
      </c>
      <c r="N527" t="inlineStr">
        <is>
          <t>ref</t>
        </is>
      </c>
      <c r="O527" t="n">
        <v>45</v>
      </c>
      <c r="P527" t="n">
        <v>0.0181</v>
      </c>
      <c r="Q527" t="n">
        <v>70</v>
      </c>
      <c r="R527" t="n">
        <v>0.04074</v>
      </c>
      <c r="S527">
        <f>IMAGE("https://mitra.stanford.edu/kundaje/oak/projects/neuro-variants/variant_position/credible/roussos_2024/variant_figures/roussos_2024.infant.GLU/rs4576808_count_position.png",4,220,900)</f>
        <v/>
      </c>
      <c r="T527">
        <f>IMAGE("https://mitra.stanford.edu/kundaje/oak/projects/neuro-variants/variant_position/credible/roussos_2024/variant_figures/roussos_2024.infant.GLU/rs4576808_profile_position.png",4,220,900)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-0.0049535882399999</v>
      </c>
      <c r="G528" t="n">
        <v>0.6742441783560919</v>
      </c>
      <c r="H528" t="n">
        <v>0.0500068695027685</v>
      </c>
      <c r="I528" t="n">
        <v>0.0075467877970793</v>
      </c>
      <c r="J528" t="n">
        <v>0.0374644502744769</v>
      </c>
      <c r="K528" t="n">
        <v>0.4111293812417758</v>
      </c>
      <c r="L528" t="b">
        <v>1</v>
      </c>
      <c r="M528" t="b">
        <v>0</v>
      </c>
      <c r="N528" t="inlineStr">
        <is>
          <t>ref</t>
        </is>
      </c>
      <c r="O528" t="n">
        <v>-100</v>
      </c>
      <c r="P528" t="n">
        <v>0.03287</v>
      </c>
      <c r="Q528" t="n">
        <v>-100</v>
      </c>
      <c r="R528" t="n">
        <v>0.0838</v>
      </c>
      <c r="S528">
        <f>IMAGE("https://mitra.stanford.edu/kundaje/oak/projects/neuro-variants/variant_position/credible/roussos_2024/variant_figures/roussos_2024.infant.GLU/rs4290216_count_position.png",4,220,900)</f>
        <v/>
      </c>
      <c r="T528">
        <f>IMAGE("https://mitra.stanford.edu/kundaje/oak/projects/neuro-variants/variant_position/credible/roussos_2024/variant_figures/roussos_2024.infant.GLU/rs4290216_profile_position.png",4,220,900)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-0.083002967</v>
      </c>
      <c r="G529" t="n">
        <v>0.0713305863604175</v>
      </c>
      <c r="H529" t="n">
        <v>0.0153739039439626</v>
      </c>
      <c r="I529" t="n">
        <v>0.3412069555787282</v>
      </c>
      <c r="J529" t="n">
        <v>0.0304283604135893</v>
      </c>
      <c r="K529" t="n">
        <v>0.4466227650513013</v>
      </c>
      <c r="L529" t="b">
        <v>0</v>
      </c>
      <c r="M529" t="b">
        <v>0</v>
      </c>
      <c r="N529" t="inlineStr">
        <is>
          <t>ref</t>
        </is>
      </c>
      <c r="O529" t="n">
        <v>-20</v>
      </c>
      <c r="P529" t="n">
        <v>0.002579</v>
      </c>
      <c r="Q529" t="n">
        <v>-85</v>
      </c>
      <c r="R529" t="n">
        <v>0.0503</v>
      </c>
      <c r="S529">
        <f>IMAGE("https://mitra.stanford.edu/kundaje/oak/projects/neuro-variants/variant_position/credible/roussos_2024/variant_figures/roussos_2024.infant.GLU/rs7935241_count_position.png",4,220,900)</f>
        <v/>
      </c>
      <c r="T529">
        <f>IMAGE("https://mitra.stanford.edu/kundaje/oak/projects/neuro-variants/variant_position/credible/roussos_2024/variant_figures/roussos_2024.infant.GLU/rs7935241_profile_position.png",4,220,900)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-0.0266789951</v>
      </c>
      <c r="G530" t="n">
        <v>0.3544257645304223</v>
      </c>
      <c r="H530" t="n">
        <v>0.0461275003729317</v>
      </c>
      <c r="I530" t="n">
        <v>0.0110082024211542</v>
      </c>
      <c r="J530" t="n">
        <v>0.0008421702418483</v>
      </c>
      <c r="K530" t="n">
        <v>0.8968882326126946</v>
      </c>
      <c r="L530" t="b">
        <v>0</v>
      </c>
      <c r="M530" t="b">
        <v>0</v>
      </c>
      <c r="N530" t="inlineStr">
        <is>
          <t>ref</t>
        </is>
      </c>
      <c r="O530" t="n">
        <v>45</v>
      </c>
      <c r="P530" t="n">
        <v>0.002213</v>
      </c>
      <c r="Q530" t="n">
        <v>-20</v>
      </c>
      <c r="R530" t="n">
        <v>0.02881</v>
      </c>
      <c r="S530">
        <f>IMAGE("https://mitra.stanford.edu/kundaje/oak/projects/neuro-variants/variant_position/credible/roussos_2024/variant_figures/roussos_2024.infant.GLU/rs7928893_count_position.png",4,220,900)</f>
        <v/>
      </c>
      <c r="T530">
        <f>IMAGE("https://mitra.stanford.edu/kundaje/oak/projects/neuro-variants/variant_position/credible/roussos_2024/variant_figures/roussos_2024.infant.GLU/rs7928893_profile_position.png",4,220,900)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-0.035100206</v>
      </c>
      <c r="G531" t="n">
        <v>0.273430460537195</v>
      </c>
      <c r="H531" t="n">
        <v>0.007576244582473</v>
      </c>
      <c r="I531" t="n">
        <v>0.9335740068129604</v>
      </c>
      <c r="J531" t="n">
        <v>0.0671465420313498</v>
      </c>
      <c r="K531" t="n">
        <v>0.2841186613127112</v>
      </c>
      <c r="L531" t="b">
        <v>0</v>
      </c>
      <c r="M531" t="b">
        <v>0</v>
      </c>
      <c r="N531" t="inlineStr">
        <is>
          <t>ref</t>
        </is>
      </c>
      <c r="O531" t="n">
        <v>-100</v>
      </c>
      <c r="P531" t="n">
        <v>0.02478</v>
      </c>
      <c r="Q531" t="n">
        <v>-100</v>
      </c>
      <c r="R531" t="n">
        <v>0.08840000000000001</v>
      </c>
      <c r="S531">
        <f>IMAGE("https://mitra.stanford.edu/kundaje/oak/projects/neuro-variants/variant_position/credible/roussos_2024/variant_figures/roussos_2024.infant.GLU/rs7122369_count_position.png",4,220,900)</f>
        <v/>
      </c>
      <c r="T531">
        <f>IMAGE("https://mitra.stanford.edu/kundaje/oak/projects/neuro-variants/variant_position/credible/roussos_2024/variant_figures/roussos_2024.infant.GLU/rs7122369_profile_position.png",4,220,900)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0.0581048524</v>
      </c>
      <c r="G532" t="n">
        <v>0.1310267591844955</v>
      </c>
      <c r="H532" t="n">
        <v>0.0122580318904857</v>
      </c>
      <c r="I532" t="n">
        <v>0.5390625387768095</v>
      </c>
      <c r="J532" t="n">
        <v>0.0389062810026675</v>
      </c>
      <c r="K532" t="n">
        <v>0.3945134252416106</v>
      </c>
      <c r="L532" t="b">
        <v>0</v>
      </c>
      <c r="M532" t="b">
        <v>0</v>
      </c>
      <c r="N532" t="inlineStr">
        <is>
          <t>alt</t>
        </is>
      </c>
      <c r="O532" t="n">
        <v>-100</v>
      </c>
      <c r="P532" t="n">
        <v>0.03885</v>
      </c>
      <c r="Q532" t="n">
        <v>-80</v>
      </c>
      <c r="R532" t="n">
        <v>0.1757</v>
      </c>
      <c r="S532">
        <f>IMAGE("https://mitra.stanford.edu/kundaje/oak/projects/neuro-variants/variant_position/credible/roussos_2024/variant_figures/roussos_2024.infant.GLU/rs11034985_count_position.png",4,220,900)</f>
        <v/>
      </c>
      <c r="T532">
        <f>IMAGE("https://mitra.stanford.edu/kundaje/oak/projects/neuro-variants/variant_position/credible/roussos_2024/variant_figures/roussos_2024.infant.GLU/rs11034985_profile_position.png",4,220,900)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-0.01223351969</v>
      </c>
      <c r="G533" t="n">
        <v>0.604085583776001</v>
      </c>
      <c r="H533" t="n">
        <v>0.0539551878601499</v>
      </c>
      <c r="I533" t="n">
        <v>0.0053885724433101</v>
      </c>
      <c r="J533" t="n">
        <v>0.078068299565687</v>
      </c>
      <c r="K533" t="n">
        <v>0.251848355790232</v>
      </c>
      <c r="L533" t="b">
        <v>1</v>
      </c>
      <c r="M533" t="b">
        <v>1</v>
      </c>
      <c r="N533" t="inlineStr">
        <is>
          <t>ref</t>
        </is>
      </c>
      <c r="O533" t="n">
        <v>100</v>
      </c>
      <c r="P533" t="n">
        <v>0.0398</v>
      </c>
      <c r="Q533" t="n">
        <v>100</v>
      </c>
      <c r="R533" t="n">
        <v>0.0914</v>
      </c>
      <c r="S533">
        <f>IMAGE("https://mitra.stanford.edu/kundaje/oak/projects/neuro-variants/variant_position/credible/roussos_2024/variant_figures/roussos_2024.infant.GLU/rs10837065_count_position.png",4,220,900)</f>
        <v/>
      </c>
      <c r="T533">
        <f>IMAGE("https://mitra.stanford.edu/kundaje/oak/projects/neuro-variants/variant_position/credible/roussos_2024/variant_figures/roussos_2024.infant.GLU/rs10837065_profile_position.png",4,220,900)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-0.0489085948</v>
      </c>
      <c r="G534" t="n">
        <v>0.1738509518544519</v>
      </c>
      <c r="H534" t="n">
        <v>0.0154495343456498</v>
      </c>
      <c r="I534" t="n">
        <v>0.3421129716622161</v>
      </c>
      <c r="J534" t="n">
        <v>0.0548865715734473</v>
      </c>
      <c r="K534" t="n">
        <v>0.3214088162853331</v>
      </c>
      <c r="L534" t="b">
        <v>0</v>
      </c>
      <c r="M534" t="b">
        <v>0</v>
      </c>
      <c r="N534" t="inlineStr">
        <is>
          <t>ref</t>
        </is>
      </c>
      <c r="O534" t="n">
        <v>-100</v>
      </c>
      <c r="P534" t="n">
        <v>0.10913</v>
      </c>
      <c r="Q534" t="n">
        <v>95</v>
      </c>
      <c r="R534" t="n">
        <v>0.07464999999999999</v>
      </c>
      <c r="S534">
        <f>IMAGE("https://mitra.stanford.edu/kundaje/oak/projects/neuro-variants/variant_position/credible/roussos_2024/variant_figures/roussos_2024.infant.GLU/rs10837066_count_position.png",4,220,900)</f>
        <v/>
      </c>
      <c r="T534">
        <f>IMAGE("https://mitra.stanford.edu/kundaje/oak/projects/neuro-variants/variant_position/credible/roussos_2024/variant_figures/roussos_2024.infant.GLU/rs10837066_profile_position.png",4,220,900)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0.00146610056</v>
      </c>
      <c r="G535" t="n">
        <v>0.8232632952488184</v>
      </c>
      <c r="H535" t="n">
        <v>0.0070525863490835</v>
      </c>
      <c r="I535" t="n">
        <v>0.9467580014541648</v>
      </c>
      <c r="J535" t="n">
        <v>0.016330827399193</v>
      </c>
      <c r="K535" t="n">
        <v>0.5745691268237311</v>
      </c>
      <c r="L535" t="b">
        <v>0</v>
      </c>
      <c r="M535" t="b">
        <v>0</v>
      </c>
      <c r="N535" t="inlineStr">
        <is>
          <t>alt</t>
        </is>
      </c>
      <c r="O535" t="n">
        <v>-5</v>
      </c>
      <c r="P535" t="n">
        <v>0.001541</v>
      </c>
      <c r="Q535" t="n">
        <v>60</v>
      </c>
      <c r="R535" t="n">
        <v>0.09186</v>
      </c>
      <c r="S535">
        <f>IMAGE("https://mitra.stanford.edu/kundaje/oak/projects/neuro-variants/variant_position/credible/roussos_2024/variant_figures/roussos_2024.infant.GLU/rs12365929_count_position.png",4,220,900)</f>
        <v/>
      </c>
      <c r="T535">
        <f>IMAGE("https://mitra.stanford.edu/kundaje/oak/projects/neuro-variants/variant_position/credible/roussos_2024/variant_figures/roussos_2024.infant.GLU/rs12365929_profile_position.png",4,220,900)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-0.011173444914</v>
      </c>
      <c r="G536" t="n">
        <v>0.6318694848351197</v>
      </c>
      <c r="H536" t="n">
        <v>0.0396606034599468</v>
      </c>
      <c r="I536" t="n">
        <v>0.0209093876198059</v>
      </c>
      <c r="J536" t="n">
        <v>0.149684737317842</v>
      </c>
      <c r="K536" t="n">
        <v>0.1465617053112587</v>
      </c>
      <c r="L536" t="b">
        <v>0</v>
      </c>
      <c r="M536" t="b">
        <v>0</v>
      </c>
      <c r="N536" t="inlineStr">
        <is>
          <t>ref</t>
        </is>
      </c>
      <c r="O536" t="n">
        <v>-25</v>
      </c>
      <c r="P536" t="n">
        <v>0.1133</v>
      </c>
      <c r="Q536" t="n">
        <v>100</v>
      </c>
      <c r="R536" t="n">
        <v>0.1807</v>
      </c>
      <c r="S536">
        <f>IMAGE("https://mitra.stanford.edu/kundaje/oak/projects/neuro-variants/variant_position/credible/roussos_2024/variant_figures/roussos_2024.infant.GLU/rs67617610_count_position.png",4,220,900)</f>
        <v/>
      </c>
      <c r="T536">
        <f>IMAGE("https://mitra.stanford.edu/kundaje/oak/projects/neuro-variants/variant_position/credible/roussos_2024/variant_figures/roussos_2024.infant.GLU/rs67617610_profile_position.png",4,220,900)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-0.040392189</v>
      </c>
      <c r="G537" t="n">
        <v>0.2259196475937707</v>
      </c>
      <c r="H537" t="n">
        <v>0.0101198792630894</v>
      </c>
      <c r="I537" t="n">
        <v>0.7255174680064825</v>
      </c>
      <c r="J537" t="n">
        <v>0.0076787407129786</v>
      </c>
      <c r="K537" t="n">
        <v>0.7120092170258761</v>
      </c>
      <c r="L537" t="b">
        <v>0</v>
      </c>
      <c r="M537" t="b">
        <v>0</v>
      </c>
      <c r="N537" t="inlineStr">
        <is>
          <t>ref</t>
        </is>
      </c>
      <c r="O537" t="n">
        <v>45</v>
      </c>
      <c r="P537" t="n">
        <v>0.02797</v>
      </c>
      <c r="Q537" t="n">
        <v>80</v>
      </c>
      <c r="R537" t="n">
        <v>0.094</v>
      </c>
      <c r="S537">
        <f>IMAGE("https://mitra.stanford.edu/kundaje/oak/projects/neuro-variants/variant_position/credible/roussos_2024/variant_figures/roussos_2024.infant.GLU/rs10837072_count_position.png",4,220,900)</f>
        <v/>
      </c>
      <c r="T537">
        <f>IMAGE("https://mitra.stanford.edu/kundaje/oak/projects/neuro-variants/variant_position/credible/roussos_2024/variant_figures/roussos_2024.infant.GLU/rs10837072_profile_position.png",4,220,900)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0.0207600362</v>
      </c>
      <c r="G538" t="n">
        <v>0.4236653233492742</v>
      </c>
      <c r="H538" t="n">
        <v>0.054537675734932</v>
      </c>
      <c r="I538" t="n">
        <v>0.0049945441109243</v>
      </c>
      <c r="J538" t="n">
        <v>0.0200731938534799</v>
      </c>
      <c r="K538" t="n">
        <v>0.5422476760107549</v>
      </c>
      <c r="L538" t="b">
        <v>1</v>
      </c>
      <c r="M538" t="b">
        <v>0</v>
      </c>
      <c r="N538" t="inlineStr">
        <is>
          <t>alt</t>
        </is>
      </c>
      <c r="O538" t="n">
        <v>-100</v>
      </c>
      <c r="P538" t="n">
        <v>0.0603</v>
      </c>
      <c r="Q538" t="n">
        <v>-100</v>
      </c>
      <c r="R538" t="n">
        <v>0.07006999999999999</v>
      </c>
      <c r="S538">
        <f>IMAGE("https://mitra.stanford.edu/kundaje/oak/projects/neuro-variants/variant_position/credible/roussos_2024/variant_figures/roussos_2024.infant.GLU/rs12277025_count_position.png",4,220,900)</f>
        <v/>
      </c>
      <c r="T538">
        <f>IMAGE("https://mitra.stanford.edu/kundaje/oak/projects/neuro-variants/variant_position/credible/roussos_2024/variant_figures/roussos_2024.infant.GLU/rs12277025_profile_position.png",4,220,900)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-0.0184504708</v>
      </c>
      <c r="G539" t="n">
        <v>0.4712109025314445</v>
      </c>
      <c r="H539" t="n">
        <v>0.0427595852163632</v>
      </c>
      <c r="I539" t="n">
        <v>0.0155242261447911</v>
      </c>
      <c r="J539" t="n">
        <v>0.0776582376154676</v>
      </c>
      <c r="K539" t="n">
        <v>0.2554924845320947</v>
      </c>
      <c r="L539" t="b">
        <v>1</v>
      </c>
      <c r="M539" t="b">
        <v>0</v>
      </c>
      <c r="N539" t="inlineStr">
        <is>
          <t>ref</t>
        </is>
      </c>
      <c r="O539" t="n">
        <v>-85</v>
      </c>
      <c r="P539" t="n">
        <v>0.006958</v>
      </c>
      <c r="Q539" t="n">
        <v>-30</v>
      </c>
      <c r="R539" t="n">
        <v>0.05457</v>
      </c>
      <c r="S539">
        <f>IMAGE("https://mitra.stanford.edu/kundaje/oak/projects/neuro-variants/variant_position/credible/roussos_2024/variant_figures/roussos_2024.infant.GLU/rs10837077_count_position.png",4,220,900)</f>
        <v/>
      </c>
      <c r="T539">
        <f>IMAGE("https://mitra.stanford.edu/kundaje/oak/projects/neuro-variants/variant_position/credible/roussos_2024/variant_figures/roussos_2024.infant.GLU/rs10837077_profile_position.png",4,220,900)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0.01928245274</v>
      </c>
      <c r="G540" t="n">
        <v>0.4159437960231391</v>
      </c>
      <c r="H540" t="n">
        <v>0.049715891283867</v>
      </c>
      <c r="I540" t="n">
        <v>0.0077779748356289</v>
      </c>
      <c r="J540" t="n">
        <v>0.0233272338455432</v>
      </c>
      <c r="K540" t="n">
        <v>0.5014499541908707</v>
      </c>
      <c r="L540" t="b">
        <v>1</v>
      </c>
      <c r="M540" t="b">
        <v>0</v>
      </c>
      <c r="N540" t="inlineStr">
        <is>
          <t>alt</t>
        </is>
      </c>
      <c r="O540" t="n">
        <v>-40</v>
      </c>
      <c r="P540" t="n">
        <v>0.006535</v>
      </c>
      <c r="Q540" t="n">
        <v>50</v>
      </c>
      <c r="R540" t="n">
        <v>0.0177</v>
      </c>
      <c r="S540">
        <f>IMAGE("https://mitra.stanford.edu/kundaje/oak/projects/neuro-variants/variant_position/credible/roussos_2024/variant_figures/roussos_2024.infant.GLU/rs10501212_count_position.png",4,220,900)</f>
        <v/>
      </c>
      <c r="T540">
        <f>IMAGE("https://mitra.stanford.edu/kundaje/oak/projects/neuro-variants/variant_position/credible/roussos_2024/variant_figures/roussos_2024.infant.GLU/rs10501212_profile_position.png",4,220,900)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0.023385197002</v>
      </c>
      <c r="G541" t="n">
        <v>0.4213934914645507</v>
      </c>
      <c r="H541" t="n">
        <v>0.029405910244786</v>
      </c>
      <c r="I541" t="n">
        <v>0.0614239450326195</v>
      </c>
      <c r="J541" t="n">
        <v>0.07515597786547321</v>
      </c>
      <c r="K541" t="n">
        <v>0.2699081860751854</v>
      </c>
      <c r="L541" t="b">
        <v>0</v>
      </c>
      <c r="M541" t="b">
        <v>0</v>
      </c>
      <c r="N541" t="inlineStr">
        <is>
          <t>alt</t>
        </is>
      </c>
      <c r="O541" t="n">
        <v>50</v>
      </c>
      <c r="P541" t="n">
        <v>0.03247</v>
      </c>
      <c r="Q541" t="n">
        <v>45</v>
      </c>
      <c r="R541" t="n">
        <v>0.11755</v>
      </c>
      <c r="S541">
        <f>IMAGE("https://mitra.stanford.edu/kundaje/oak/projects/neuro-variants/variant_position/credible/roussos_2024/variant_figures/roussos_2024.infant.GLU/rs10837082_count_position.png",4,220,900)</f>
        <v/>
      </c>
      <c r="T541">
        <f>IMAGE("https://mitra.stanford.edu/kundaje/oak/projects/neuro-variants/variant_position/credible/roussos_2024/variant_figures/roussos_2024.infant.GLU/rs10837082_profile_position.png",4,220,900)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0.0462131778</v>
      </c>
      <c r="G542" t="n">
        <v>0.1856265407424256</v>
      </c>
      <c r="H542" t="n">
        <v>0.0489908359205915</v>
      </c>
      <c r="I542" t="n">
        <v>0.008348615261696999</v>
      </c>
      <c r="J542" t="n">
        <v>0.0129202583831212</v>
      </c>
      <c r="K542" t="n">
        <v>0.624613158131281</v>
      </c>
      <c r="L542" t="b">
        <v>1</v>
      </c>
      <c r="M542" t="b">
        <v>0</v>
      </c>
      <c r="N542" t="inlineStr">
        <is>
          <t>alt</t>
        </is>
      </c>
      <c r="O542" t="n">
        <v>-100</v>
      </c>
      <c r="P542" t="n">
        <v>0.186</v>
      </c>
      <c r="Q542" t="n">
        <v>-60</v>
      </c>
      <c r="R542" t="n">
        <v>0.09827</v>
      </c>
      <c r="S542">
        <f>IMAGE("https://mitra.stanford.edu/kundaje/oak/projects/neuro-variants/variant_position/credible/roussos_2024/variant_figures/roussos_2024.infant.GLU/rs11035025_count_position.png",4,220,900)</f>
        <v/>
      </c>
      <c r="T542">
        <f>IMAGE("https://mitra.stanford.edu/kundaje/oak/projects/neuro-variants/variant_position/credible/roussos_2024/variant_figures/roussos_2024.infant.GLU/rs11035025_profile_position.png",4,220,900)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0.0673054435999999</v>
      </c>
      <c r="G543" t="n">
        <v>0.1114259711987232</v>
      </c>
      <c r="H543" t="n">
        <v>0.0223200824556814</v>
      </c>
      <c r="I543" t="n">
        <v>0.1472052543371179</v>
      </c>
      <c r="J543" t="n">
        <v>0.0975010472012169</v>
      </c>
      <c r="K543" t="n">
        <v>0.2221225143922448</v>
      </c>
      <c r="L543" t="b">
        <v>0</v>
      </c>
      <c r="M543" t="b">
        <v>0</v>
      </c>
      <c r="N543" t="inlineStr">
        <is>
          <t>alt</t>
        </is>
      </c>
      <c r="O543" t="n">
        <v>-65</v>
      </c>
      <c r="P543" t="n">
        <v>0.01657</v>
      </c>
      <c r="Q543" t="n">
        <v>-95</v>
      </c>
      <c r="R543" t="n">
        <v>0.04053</v>
      </c>
      <c r="S543">
        <f>IMAGE("https://mitra.stanford.edu/kundaje/oak/projects/neuro-variants/variant_position/credible/roussos_2024/variant_figures/roussos_2024.infant.GLU/rs7119965_count_position.png",4,220,900)</f>
        <v/>
      </c>
      <c r="T543">
        <f>IMAGE("https://mitra.stanford.edu/kundaje/oak/projects/neuro-variants/variant_position/credible/roussos_2024/variant_figures/roussos_2024.infant.GLU/rs7119965_profile_position.png",4,220,900)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-0.0545914777999999</v>
      </c>
      <c r="G544" t="n">
        <v>0.1584729220606639</v>
      </c>
      <c r="H544" t="n">
        <v>0.0112460728006529</v>
      </c>
      <c r="I544" t="n">
        <v>0.6040993348960241</v>
      </c>
      <c r="J544" t="n">
        <v>0.06692277166604189</v>
      </c>
      <c r="K544" t="n">
        <v>0.2893920417337052</v>
      </c>
      <c r="L544" t="b">
        <v>0</v>
      </c>
      <c r="M544" t="b">
        <v>0</v>
      </c>
      <c r="N544" t="inlineStr">
        <is>
          <t>ref</t>
        </is>
      </c>
      <c r="O544" t="n">
        <v>0</v>
      </c>
      <c r="P544" t="n">
        <v>0</v>
      </c>
      <c r="Q544" t="n">
        <v>-45</v>
      </c>
      <c r="R544" t="n">
        <v>0.0249</v>
      </c>
      <c r="S544">
        <f>IMAGE("https://mitra.stanford.edu/kundaje/oak/projects/neuro-variants/variant_position/credible/roussos_2024/variant_figures/roussos_2024.infant.GLU/rs10768438_count_position.png",4,220,900)</f>
        <v/>
      </c>
      <c r="T544">
        <f>IMAGE("https://mitra.stanford.edu/kundaje/oak/projects/neuro-variants/variant_position/credible/roussos_2024/variant_figures/roussos_2024.infant.GLU/rs10768438_profile_position.png",4,220,900)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0.038260399</v>
      </c>
      <c r="G545" t="n">
        <v>0.2342366609861504</v>
      </c>
      <c r="H545" t="n">
        <v>0.049499437813522</v>
      </c>
      <c r="I545" t="n">
        <v>0.0079536952963008</v>
      </c>
      <c r="J545" t="n">
        <v>0.0061200643753168</v>
      </c>
      <c r="K545" t="n">
        <v>0.7378196023833503</v>
      </c>
      <c r="L545" t="b">
        <v>0</v>
      </c>
      <c r="M545" t="b">
        <v>0</v>
      </c>
      <c r="N545" t="inlineStr">
        <is>
          <t>alt</t>
        </is>
      </c>
      <c r="O545" t="n">
        <v>-55</v>
      </c>
      <c r="P545" t="n">
        <v>0.015015</v>
      </c>
      <c r="Q545" t="n">
        <v>-5</v>
      </c>
      <c r="R545" t="n">
        <v>0.001221</v>
      </c>
      <c r="S545">
        <f>IMAGE("https://mitra.stanford.edu/kundaje/oak/projects/neuro-variants/variant_position/credible/roussos_2024/variant_figures/roussos_2024.infant.GLU/rs10837090_count_position.png",4,220,900)</f>
        <v/>
      </c>
      <c r="T545">
        <f>IMAGE("https://mitra.stanford.edu/kundaje/oak/projects/neuro-variants/variant_position/credible/roussos_2024/variant_figures/roussos_2024.infant.GLU/rs10837090_profile_position.png",4,220,900)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-0.00622811061</v>
      </c>
      <c r="G546" t="n">
        <v>0.7486278566585801</v>
      </c>
      <c r="H546" t="n">
        <v>0.0470899163810546</v>
      </c>
      <c r="I546" t="n">
        <v>0.0100984694462267</v>
      </c>
      <c r="J546" t="n">
        <v>0.1134107894794858</v>
      </c>
      <c r="K546" t="n">
        <v>0.1924698637535018</v>
      </c>
      <c r="L546" t="b">
        <v>1</v>
      </c>
      <c r="M546" t="b">
        <v>0</v>
      </c>
      <c r="N546" t="inlineStr">
        <is>
          <t>ref</t>
        </is>
      </c>
      <c r="O546" t="n">
        <v>-100</v>
      </c>
      <c r="P546" t="n">
        <v>0.145</v>
      </c>
      <c r="Q546" t="n">
        <v>-100</v>
      </c>
      <c r="R546" t="n">
        <v>0.1155</v>
      </c>
      <c r="S546">
        <f>IMAGE("https://mitra.stanford.edu/kundaje/oak/projects/neuro-variants/variant_position/credible/roussos_2024/variant_figures/roussos_2024.infant.GLU/rs200720298_count_position.png",4,220,900)</f>
        <v/>
      </c>
      <c r="T546">
        <f>IMAGE("https://mitra.stanford.edu/kundaje/oak/projects/neuro-variants/variant_position/credible/roussos_2024/variant_figures/roussos_2024.infant.GLU/rs200720298_profile_position.png",4,220,900)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0.01314596276</v>
      </c>
      <c r="G547" t="n">
        <v>0.5156720547395127</v>
      </c>
      <c r="H547" t="n">
        <v>0.0272343026120219</v>
      </c>
      <c r="I547" t="n">
        <v>0.07872314647335769</v>
      </c>
      <c r="J547" t="n">
        <v>0.1807414184616062</v>
      </c>
      <c r="K547" t="n">
        <v>0.1294176281476489</v>
      </c>
      <c r="L547" t="b">
        <v>0</v>
      </c>
      <c r="M547" t="b">
        <v>0</v>
      </c>
      <c r="N547" t="inlineStr">
        <is>
          <t>alt</t>
        </is>
      </c>
      <c r="O547" t="n">
        <v>-100</v>
      </c>
      <c r="P547" t="n">
        <v>0.00942</v>
      </c>
      <c r="Q547" t="n">
        <v>-100</v>
      </c>
      <c r="R547" t="n">
        <v>0.1577</v>
      </c>
      <c r="S547">
        <f>IMAGE("https://mitra.stanford.edu/kundaje/oak/projects/neuro-variants/variant_position/credible/roussos_2024/variant_figures/roussos_2024.infant.GLU/rs3740974_count_position.png",4,220,900)</f>
        <v/>
      </c>
      <c r="T547">
        <f>IMAGE("https://mitra.stanford.edu/kundaje/oak/projects/neuro-variants/variant_position/credible/roussos_2024/variant_figures/roussos_2024.infant.GLU/rs3740974_profile_position.png",4,220,900)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0.00740095818</v>
      </c>
      <c r="G548" t="n">
        <v>0.6965476799833676</v>
      </c>
      <c r="H548" t="n">
        <v>0.0113354369806312</v>
      </c>
      <c r="I548" t="n">
        <v>0.6102132687870531</v>
      </c>
      <c r="J548" t="n">
        <v>0.0011133402411869</v>
      </c>
      <c r="K548" t="n">
        <v>0.88505035358078</v>
      </c>
      <c r="L548" t="b">
        <v>0</v>
      </c>
      <c r="M548" t="b">
        <v>0</v>
      </c>
      <c r="N548" t="inlineStr">
        <is>
          <t>alt</t>
        </is>
      </c>
      <c r="O548" t="n">
        <v>65</v>
      </c>
      <c r="P548" t="n">
        <v>0.003601</v>
      </c>
      <c r="Q548" t="n">
        <v>20</v>
      </c>
      <c r="R548" t="n">
        <v>0.012665</v>
      </c>
      <c r="S548">
        <f>IMAGE("https://mitra.stanford.edu/kundaje/oak/projects/neuro-variants/variant_position/credible/roussos_2024/variant_figures/roussos_2024.infant.GLU/rs12283172_count_position.png",4,220,900)</f>
        <v/>
      </c>
      <c r="T548">
        <f>IMAGE("https://mitra.stanford.edu/kundaje/oak/projects/neuro-variants/variant_position/credible/roussos_2024/variant_figures/roussos_2024.infant.GLU/rs12283172_profile_position.png",4,220,900)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-0.0259242436</v>
      </c>
      <c r="G549" t="n">
        <v>0.3697043427523897</v>
      </c>
      <c r="H549" t="n">
        <v>0.0089614413434296</v>
      </c>
      <c r="I549" t="n">
        <v>0.8146855911682589</v>
      </c>
      <c r="J549" t="n">
        <v>0.1111543464362088</v>
      </c>
      <c r="K549" t="n">
        <v>0.1936811927744238</v>
      </c>
      <c r="L549" t="b">
        <v>0</v>
      </c>
      <c r="M549" t="b">
        <v>0</v>
      </c>
      <c r="N549" t="inlineStr">
        <is>
          <t>ref</t>
        </is>
      </c>
      <c r="O549" t="n">
        <v>100</v>
      </c>
      <c r="P549" t="n">
        <v>0.01746</v>
      </c>
      <c r="Q549" t="n">
        <v>-85</v>
      </c>
      <c r="R549" t="n">
        <v>0.05225</v>
      </c>
      <c r="S549">
        <f>IMAGE("https://mitra.stanford.edu/kundaje/oak/projects/neuro-variants/variant_position/credible/roussos_2024/variant_figures/roussos_2024.infant.GLU/rs2864076_count_position.png",4,220,900)</f>
        <v/>
      </c>
      <c r="T549">
        <f>IMAGE("https://mitra.stanford.edu/kundaje/oak/projects/neuro-variants/variant_position/credible/roussos_2024/variant_figures/roussos_2024.infant.GLU/rs2864076_profile_position.png",4,220,900)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-0.00730064328</v>
      </c>
      <c r="G550" t="n">
        <v>0.7186411160633385</v>
      </c>
      <c r="H550" t="n">
        <v>0.0381974721813654</v>
      </c>
      <c r="I550" t="n">
        <v>0.0242848964282382</v>
      </c>
      <c r="J550" t="n">
        <v>0.0401607178288762</v>
      </c>
      <c r="K550" t="n">
        <v>0.3874273477487155</v>
      </c>
      <c r="L550" t="b">
        <v>0</v>
      </c>
      <c r="M550" t="b">
        <v>0</v>
      </c>
      <c r="N550" t="inlineStr">
        <is>
          <t>ref</t>
        </is>
      </c>
      <c r="O550" t="n">
        <v>-85</v>
      </c>
      <c r="P550" t="n">
        <v>0.04047</v>
      </c>
      <c r="Q550" t="n">
        <v>100</v>
      </c>
      <c r="R550" t="n">
        <v>0.1965</v>
      </c>
      <c r="S550">
        <f>IMAGE("https://mitra.stanford.edu/kundaje/oak/projects/neuro-variants/variant_position/credible/roussos_2024/variant_figures/roussos_2024.infant.GLU/rs115292163_count_position.png",4,220,900)</f>
        <v/>
      </c>
      <c r="T550">
        <f>IMAGE("https://mitra.stanford.edu/kundaje/oak/projects/neuro-variants/variant_position/credible/roussos_2024/variant_figures/roussos_2024.infant.GLU/rs115292163_profile_position.png",4,220,900)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0.021683555</v>
      </c>
      <c r="G551" t="n">
        <v>0.1892065443437147</v>
      </c>
      <c r="H551" t="n">
        <v>0.0115787139536688</v>
      </c>
      <c r="I551" t="n">
        <v>0.5642996419630181</v>
      </c>
      <c r="J551" t="n">
        <v>0.0904693666086113</v>
      </c>
      <c r="K551" t="n">
        <v>0.2302887559132694</v>
      </c>
      <c r="L551" t="b">
        <v>0</v>
      </c>
      <c r="M551" t="b">
        <v>0</v>
      </c>
      <c r="N551" t="inlineStr">
        <is>
          <t>alt</t>
        </is>
      </c>
      <c r="O551" t="n">
        <v>100</v>
      </c>
      <c r="P551" t="n">
        <v>0.00757</v>
      </c>
      <c r="Q551" t="n">
        <v>-20</v>
      </c>
      <c r="R551" t="n">
        <v>0.04663</v>
      </c>
      <c r="S551">
        <f>IMAGE("https://mitra.stanford.edu/kundaje/oak/projects/neuro-variants/variant_position/credible/roussos_2024/variant_figures/roussos_2024.infant.GLU/rs7130141_count_position.png",4,220,900)</f>
        <v/>
      </c>
      <c r="T551">
        <f>IMAGE("https://mitra.stanford.edu/kundaje/oak/projects/neuro-variants/variant_position/credible/roussos_2024/variant_figures/roussos_2024.infant.GLU/rs7130141_profile_position.png",4,220,900)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0.0511561186</v>
      </c>
      <c r="G552" t="n">
        <v>0.1554754117188631</v>
      </c>
      <c r="H552" t="n">
        <v>0.012546238903495</v>
      </c>
      <c r="I552" t="n">
        <v>0.5164734461350284</v>
      </c>
      <c r="J552" t="n">
        <v>0.467197248616592</v>
      </c>
      <c r="K552" t="n">
        <v>0.0347911177777889</v>
      </c>
      <c r="L552" t="b">
        <v>0</v>
      </c>
      <c r="M552" t="b">
        <v>0</v>
      </c>
      <c r="N552" t="inlineStr">
        <is>
          <t>alt</t>
        </is>
      </c>
      <c r="O552" t="n">
        <v>70</v>
      </c>
      <c r="P552" t="n">
        <v>0.03833</v>
      </c>
      <c r="Q552" t="n">
        <v>80</v>
      </c>
      <c r="R552" t="n">
        <v>0.211</v>
      </c>
      <c r="S552">
        <f>IMAGE("https://mitra.stanford.edu/kundaje/oak/projects/neuro-variants/variant_position/credible/roussos_2024/variant_figures/roussos_2024.infant.GLU/rs3802888_count_position.png",4,220,900)</f>
        <v/>
      </c>
      <c r="T552">
        <f>IMAGE("https://mitra.stanford.edu/kundaje/oak/projects/neuro-variants/variant_position/credible/roussos_2024/variant_figures/roussos_2024.infant.GLU/rs3802888_profile_position.png",4,220,900)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0.0011089386599999</v>
      </c>
      <c r="G553" t="n">
        <v>0.7938936730183491</v>
      </c>
      <c r="H553" t="n">
        <v>0.006703405870971</v>
      </c>
      <c r="I553" t="n">
        <v>0.969849177216338</v>
      </c>
      <c r="J553" t="n">
        <v>0.1264534050574307</v>
      </c>
      <c r="K553" t="n">
        <v>0.1731305835927785</v>
      </c>
      <c r="L553" t="b">
        <v>0</v>
      </c>
      <c r="M553" t="b">
        <v>0</v>
      </c>
      <c r="N553" t="inlineStr">
        <is>
          <t>alt</t>
        </is>
      </c>
      <c r="O553" t="n">
        <v>-80</v>
      </c>
      <c r="P553" t="n">
        <v>0.03062</v>
      </c>
      <c r="Q553" t="n">
        <v>-85</v>
      </c>
      <c r="R553" t="n">
        <v>0.3071</v>
      </c>
      <c r="S553">
        <f>IMAGE("https://mitra.stanford.edu/kundaje/oak/projects/neuro-variants/variant_position/credible/roussos_2024/variant_figures/roussos_2024.infant.GLU/rs17197116_count_position.png",4,220,900)</f>
        <v/>
      </c>
      <c r="T553">
        <f>IMAGE("https://mitra.stanford.edu/kundaje/oak/projects/neuro-variants/variant_position/credible/roussos_2024/variant_figures/roussos_2024.infant.GLU/rs17197116_profile_position.png",4,220,900)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0.0194213082</v>
      </c>
      <c r="G554" t="n">
        <v>0.4486989436256998</v>
      </c>
      <c r="H554" t="n">
        <v>0.0450205841682707</v>
      </c>
      <c r="I554" t="n">
        <v>0.0123453702413773</v>
      </c>
      <c r="J554" t="n">
        <v>0.2196906898300226</v>
      </c>
      <c r="K554" t="n">
        <v>0.0983039508597362</v>
      </c>
      <c r="L554" t="b">
        <v>1</v>
      </c>
      <c r="M554" t="b">
        <v>0</v>
      </c>
      <c r="N554" t="inlineStr">
        <is>
          <t>alt</t>
        </is>
      </c>
      <c r="O554" t="n">
        <v>-95</v>
      </c>
      <c r="P554" t="n">
        <v>0.01917</v>
      </c>
      <c r="Q554" t="n">
        <v>-80</v>
      </c>
      <c r="R554" t="n">
        <v>0.41</v>
      </c>
      <c r="S554">
        <f>IMAGE("https://mitra.stanford.edu/kundaje/oak/projects/neuro-variants/variant_position/credible/roussos_2024/variant_figures/roussos_2024.infant.GLU/rs7932866_count_position.png",4,220,900)</f>
        <v/>
      </c>
      <c r="T554">
        <f>IMAGE("https://mitra.stanford.edu/kundaje/oak/projects/neuro-variants/variant_position/credible/roussos_2024/variant_figures/roussos_2024.infant.GLU/rs7932866_profile_position.png",4,220,900)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-0.0147636772</v>
      </c>
      <c r="G555" t="n">
        <v>0.5385866590116039</v>
      </c>
      <c r="H555" t="n">
        <v>0.0453567444528575</v>
      </c>
      <c r="I555" t="n">
        <v>0.0120799123567845</v>
      </c>
      <c r="J555" t="n">
        <v>0.0171189841045877</v>
      </c>
      <c r="K555" t="n">
        <v>0.5611977541568626</v>
      </c>
      <c r="L555" t="b">
        <v>1</v>
      </c>
      <c r="M555" t="b">
        <v>0</v>
      </c>
      <c r="N555" t="inlineStr">
        <is>
          <t>ref</t>
        </is>
      </c>
      <c r="O555" t="n">
        <v>35</v>
      </c>
      <c r="P555" t="n">
        <v>0.00537</v>
      </c>
      <c r="Q555" t="n">
        <v>-100</v>
      </c>
      <c r="R555" t="n">
        <v>0.0614</v>
      </c>
      <c r="S555">
        <f>IMAGE("https://mitra.stanford.edu/kundaje/oak/projects/neuro-variants/variant_position/credible/roussos_2024/variant_figures/roussos_2024.infant.GLU/rs11038919_count_position.png",4,220,900)</f>
        <v/>
      </c>
      <c r="T555">
        <f>IMAGE("https://mitra.stanford.edu/kundaje/oak/projects/neuro-variants/variant_position/credible/roussos_2024/variant_figures/roussos_2024.infant.GLU/rs11038919_profile_position.png",4,220,900)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-0.0147284464</v>
      </c>
      <c r="G556" t="n">
        <v>0.5252418381573019</v>
      </c>
      <c r="H556" t="n">
        <v>0.0093430205776701</v>
      </c>
      <c r="I556" t="n">
        <v>0.7972844587511571</v>
      </c>
      <c r="J556" t="n">
        <v>0.0874390969818558</v>
      </c>
      <c r="K556" t="n">
        <v>0.2338611648967969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0.02847</v>
      </c>
      <c r="Q556" t="n">
        <v>-100</v>
      </c>
      <c r="R556" t="n">
        <v>0.2108</v>
      </c>
      <c r="S556">
        <f>IMAGE("https://mitra.stanford.edu/kundaje/oak/projects/neuro-variants/variant_position/credible/roussos_2024/variant_figures/roussos_2024.infant.GLU/rs61882757_count_position.png",4,220,900)</f>
        <v/>
      </c>
      <c r="T556">
        <f>IMAGE("https://mitra.stanford.edu/kundaje/oak/projects/neuro-variants/variant_position/credible/roussos_2024/variant_figures/roussos_2024.infant.GLU/rs61882757_profile_position.png",4,220,900)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0.01145108082</v>
      </c>
      <c r="G557" t="n">
        <v>0.597796483911048</v>
      </c>
      <c r="H557" t="n">
        <v>0.011364129794811</v>
      </c>
      <c r="I557" t="n">
        <v>0.6121677872683424</v>
      </c>
      <c r="J557" t="n">
        <v>0.0019202363367798</v>
      </c>
      <c r="K557" t="n">
        <v>0.838904864309418</v>
      </c>
      <c r="L557" t="b">
        <v>0</v>
      </c>
      <c r="M557" t="b">
        <v>0</v>
      </c>
      <c r="N557" t="inlineStr">
        <is>
          <t>alt</t>
        </is>
      </c>
      <c r="O557" t="n">
        <v>-20</v>
      </c>
      <c r="P557" t="n">
        <v>0.001495</v>
      </c>
      <c r="Q557" t="n">
        <v>90</v>
      </c>
      <c r="R557" t="n">
        <v>0.0743</v>
      </c>
      <c r="S557">
        <f>IMAGE("https://mitra.stanford.edu/kundaje/oak/projects/neuro-variants/variant_position/credible/roussos_2024/variant_figures/roussos_2024.infant.GLU/rs55657382_count_position.png",4,220,900)</f>
        <v/>
      </c>
      <c r="T557">
        <f>IMAGE("https://mitra.stanford.edu/kundaje/oak/projects/neuro-variants/variant_position/credible/roussos_2024/variant_figures/roussos_2024.infant.GLU/rs55657382_profile_position.png",4,220,900)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-0.0236373682</v>
      </c>
      <c r="G558" t="n">
        <v>0.3956282669510472</v>
      </c>
      <c r="H558" t="n">
        <v>0.0581162327083419</v>
      </c>
      <c r="I558" t="n">
        <v>0.0036597932794351</v>
      </c>
      <c r="J558" t="n">
        <v>0.0081273837606648</v>
      </c>
      <c r="K558" t="n">
        <v>0.687496359127592</v>
      </c>
      <c r="L558" t="b">
        <v>0</v>
      </c>
      <c r="M558" t="b">
        <v>0</v>
      </c>
      <c r="N558" t="inlineStr">
        <is>
          <t>ref</t>
        </is>
      </c>
      <c r="O558" t="n">
        <v>10</v>
      </c>
      <c r="P558" t="n">
        <v>0.001953</v>
      </c>
      <c r="Q558" t="n">
        <v>-30</v>
      </c>
      <c r="R558" t="n">
        <v>0.07947</v>
      </c>
      <c r="S558">
        <f>IMAGE("https://mitra.stanford.edu/kundaje/oak/projects/neuro-variants/variant_position/credible/roussos_2024/variant_figures/roussos_2024.infant.GLU/rs7128092_count_position.png",4,220,900)</f>
        <v/>
      </c>
      <c r="T558">
        <f>IMAGE("https://mitra.stanford.edu/kundaje/oak/projects/neuro-variants/variant_position/credible/roussos_2024/variant_figures/roussos_2024.infant.GLU/rs7128092_profile_position.png",4,220,900)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0.0200387947</v>
      </c>
      <c r="G559" t="n">
        <v>0.445749686351874</v>
      </c>
      <c r="H559" t="n">
        <v>0.0134314563539184</v>
      </c>
      <c r="I559" t="n">
        <v>0.4549680391159252</v>
      </c>
      <c r="J559" t="n">
        <v>0.2189830022707731</v>
      </c>
      <c r="K559" t="n">
        <v>0.1001181242630429</v>
      </c>
      <c r="L559" t="b">
        <v>0</v>
      </c>
      <c r="M559" t="b">
        <v>0</v>
      </c>
      <c r="N559" t="inlineStr">
        <is>
          <t>alt</t>
        </is>
      </c>
      <c r="O559" t="n">
        <v>-95</v>
      </c>
      <c r="P559" t="n">
        <v>0.02357</v>
      </c>
      <c r="Q559" t="n">
        <v>-60</v>
      </c>
      <c r="R559" t="n">
        <v>0.165</v>
      </c>
      <c r="S559">
        <f>IMAGE("https://mitra.stanford.edu/kundaje/oak/projects/neuro-variants/variant_position/credible/roussos_2024/variant_figures/roussos_2024.infant.GLU/rs61884274_count_position.png",4,220,900)</f>
        <v/>
      </c>
      <c r="T559">
        <f>IMAGE("https://mitra.stanford.edu/kundaje/oak/projects/neuro-variants/variant_position/credible/roussos_2024/variant_figures/roussos_2024.infant.GLU/rs61884274_profile_position.png",4,220,900)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-0.1745241599999999</v>
      </c>
      <c r="G560" t="n">
        <v>0.0151306076639449</v>
      </c>
      <c r="H560" t="n">
        <v>0.0269462377089154</v>
      </c>
      <c r="I560" t="n">
        <v>0.0861101329664499</v>
      </c>
      <c r="J560" t="n">
        <v>0.4428161996516678</v>
      </c>
      <c r="K560" t="n">
        <v>0.0379666514712137</v>
      </c>
      <c r="L560" t="b">
        <v>1</v>
      </c>
      <c r="M560" t="b">
        <v>0</v>
      </c>
      <c r="N560" t="inlineStr">
        <is>
          <t>ref</t>
        </is>
      </c>
      <c r="O560" t="n">
        <v>95</v>
      </c>
      <c r="P560" t="n">
        <v>0.006577</v>
      </c>
      <c r="Q560" t="n">
        <v>-20</v>
      </c>
      <c r="R560" t="n">
        <v>0.02417</v>
      </c>
      <c r="S560">
        <f>IMAGE("https://mitra.stanford.edu/kundaje/oak/projects/neuro-variants/variant_position/credible/roussos_2024/variant_figures/roussos_2024.infant.GLU/rs10838610_count_position.png",4,220,900)</f>
        <v/>
      </c>
      <c r="T560">
        <f>IMAGE("https://mitra.stanford.edu/kundaje/oak/projects/neuro-variants/variant_position/credible/roussos_2024/variant_figures/roussos_2024.infant.GLU/rs10838610_profile_position.png",4,220,900)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0.1258082078</v>
      </c>
      <c r="G561" t="n">
        <v>0.0328697989958374</v>
      </c>
      <c r="H561" t="n">
        <v>0.0265653111915285</v>
      </c>
      <c r="I561" t="n">
        <v>0.0865854058085767</v>
      </c>
      <c r="J561" t="n">
        <v>0.1497861504883264</v>
      </c>
      <c r="K561" t="n">
        <v>0.144520119822855</v>
      </c>
      <c r="L561" t="b">
        <v>0</v>
      </c>
      <c r="M561" t="b">
        <v>0</v>
      </c>
      <c r="N561" t="inlineStr">
        <is>
          <t>alt</t>
        </is>
      </c>
      <c r="O561" t="n">
        <v>20</v>
      </c>
      <c r="P561" t="n">
        <v>0.014114</v>
      </c>
      <c r="Q561" t="n">
        <v>-45</v>
      </c>
      <c r="R561" t="n">
        <v>0.2737</v>
      </c>
      <c r="S561">
        <f>IMAGE("https://mitra.stanford.edu/kundaje/oak/projects/neuro-variants/variant_position/credible/roussos_2024/variant_figures/roussos_2024.infant.GLU/rs10466477_count_position.png",4,220,900)</f>
        <v/>
      </c>
      <c r="T561">
        <f>IMAGE("https://mitra.stanford.edu/kundaje/oak/projects/neuro-variants/variant_position/credible/roussos_2024/variant_figures/roussos_2024.infant.GLU/rs10466477_profile_position.png",4,220,900)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-0.0240183429999999</v>
      </c>
      <c r="G562" t="n">
        <v>0.3909348393282529</v>
      </c>
      <c r="H562" t="n">
        <v>0.0470188651623011</v>
      </c>
      <c r="I562" t="n">
        <v>0.0101774046646856</v>
      </c>
      <c r="J562" t="n">
        <v>0.0267499283493903</v>
      </c>
      <c r="K562" t="n">
        <v>0.4750698216626244</v>
      </c>
      <c r="L562" t="b">
        <v>1</v>
      </c>
      <c r="M562" t="b">
        <v>0</v>
      </c>
      <c r="N562" t="inlineStr">
        <is>
          <t>ref</t>
        </is>
      </c>
      <c r="O562" t="n">
        <v>-30</v>
      </c>
      <c r="P562" t="n">
        <v>0.00319</v>
      </c>
      <c r="Q562" t="n">
        <v>100</v>
      </c>
      <c r="R562" t="n">
        <v>0.1375</v>
      </c>
      <c r="S562">
        <f>IMAGE("https://mitra.stanford.edu/kundaje/oak/projects/neuro-variants/variant_position/credible/roussos_2024/variant_figures/roussos_2024.infant.GLU/rs7111811_count_position.png",4,220,900)</f>
        <v/>
      </c>
      <c r="T562">
        <f>IMAGE("https://mitra.stanford.edu/kundaje/oak/projects/neuro-variants/variant_position/credible/roussos_2024/variant_figures/roussos_2024.infant.GLU/rs7111811_profile_position.png",4,220,900)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0.07017031560000001</v>
      </c>
      <c r="G563" t="n">
        <v>0.1066294922811816</v>
      </c>
      <c r="H563" t="n">
        <v>0.0119814912969802</v>
      </c>
      <c r="I563" t="n">
        <v>0.5538696777679053</v>
      </c>
      <c r="J563" t="n">
        <v>0.0070757732754248</v>
      </c>
      <c r="K563" t="n">
        <v>0.7194759189755323</v>
      </c>
      <c r="L563" t="b">
        <v>0</v>
      </c>
      <c r="M563" t="b">
        <v>0</v>
      </c>
      <c r="N563" t="inlineStr">
        <is>
          <t>alt</t>
        </is>
      </c>
      <c r="O563" t="n">
        <v>-100</v>
      </c>
      <c r="P563" t="n">
        <v>0.0224</v>
      </c>
      <c r="Q563" t="n">
        <v>95</v>
      </c>
      <c r="R563" t="n">
        <v>0.02368</v>
      </c>
      <c r="S563">
        <f>IMAGE("https://mitra.stanford.edu/kundaje/oak/projects/neuro-variants/variant_position/credible/roussos_2024/variant_figures/roussos_2024.infant.GLU/rs6485690_count_position.png",4,220,900)</f>
        <v/>
      </c>
      <c r="T563">
        <f>IMAGE("https://mitra.stanford.edu/kundaje/oak/projects/neuro-variants/variant_position/credible/roussos_2024/variant_figures/roussos_2024.infant.GLU/rs6485690_profile_position.png",4,220,900)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0.0364390436</v>
      </c>
      <c r="G564" t="n">
        <v>0.2506352673933632</v>
      </c>
      <c r="H564" t="n">
        <v>0.008509094444869801</v>
      </c>
      <c r="I564" t="n">
        <v>0.8629788806945634</v>
      </c>
      <c r="J564" t="n">
        <v>0.0671961462995215</v>
      </c>
      <c r="K564" t="n">
        <v>0.2934341861662958</v>
      </c>
      <c r="L564" t="b">
        <v>0</v>
      </c>
      <c r="M564" t="b">
        <v>0</v>
      </c>
      <c r="N564" t="inlineStr">
        <is>
          <t>alt</t>
        </is>
      </c>
      <c r="O564" t="n">
        <v>-50</v>
      </c>
      <c r="P564" t="n">
        <v>0.1294</v>
      </c>
      <c r="Q564" t="n">
        <v>-65</v>
      </c>
      <c r="R564" t="n">
        <v>0.04877</v>
      </c>
      <c r="S564">
        <f>IMAGE("https://mitra.stanford.edu/kundaje/oak/projects/neuro-variants/variant_position/credible/roussos_2024/variant_figures/roussos_2024.infant.GLU/rs7118097_count_position.png",4,220,900)</f>
        <v/>
      </c>
      <c r="T564">
        <f>IMAGE("https://mitra.stanford.edu/kundaje/oak/projects/neuro-variants/variant_position/credible/roussos_2024/variant_figures/roussos_2024.infant.GLU/rs7118097_profile_position.png",4,220,900)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0.036839938</v>
      </c>
      <c r="G565" t="n">
        <v>0.2493302392685341</v>
      </c>
      <c r="H565" t="n">
        <v>0.0390438381060389</v>
      </c>
      <c r="I565" t="n">
        <v>0.0222637381350484</v>
      </c>
      <c r="J565" t="n">
        <v>0.2428878502612491</v>
      </c>
      <c r="K565" t="n">
        <v>0.0888876935742422</v>
      </c>
      <c r="L565" t="b">
        <v>0</v>
      </c>
      <c r="M565" t="b">
        <v>0</v>
      </c>
      <c r="N565" t="inlineStr">
        <is>
          <t>alt</t>
        </is>
      </c>
      <c r="O565" t="n">
        <v>-5</v>
      </c>
      <c r="P565" t="n">
        <v>0.001221</v>
      </c>
      <c r="Q565" t="n">
        <v>45</v>
      </c>
      <c r="R565" t="n">
        <v>0.02661</v>
      </c>
      <c r="S565">
        <f>IMAGE("https://mitra.stanford.edu/kundaje/oak/projects/neuro-variants/variant_position/credible/roussos_2024/variant_figures/roussos_2024.infant.GLU/rs6485696_count_position.png",4,220,900)</f>
        <v/>
      </c>
      <c r="T565">
        <f>IMAGE("https://mitra.stanford.edu/kundaje/oak/projects/neuro-variants/variant_position/credible/roussos_2024/variant_figures/roussos_2024.infant.GLU/rs6485696_profile_position.png",4,220,900)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-0.0805514136</v>
      </c>
      <c r="G566" t="n">
        <v>0.09162992240600561</v>
      </c>
      <c r="H566" t="n">
        <v>0.0124873255508983</v>
      </c>
      <c r="I566" t="n">
        <v>0.5174054922644111</v>
      </c>
      <c r="J566" t="n">
        <v>0.0069159373002049</v>
      </c>
      <c r="K566" t="n">
        <v>0.7155696705460719</v>
      </c>
      <c r="L566" t="b">
        <v>0</v>
      </c>
      <c r="M566" t="b">
        <v>0</v>
      </c>
      <c r="N566" t="inlineStr">
        <is>
          <t>ref</t>
        </is>
      </c>
      <c r="O566" t="n">
        <v>-60</v>
      </c>
      <c r="P566" t="n">
        <v>0.3403</v>
      </c>
      <c r="Q566" t="n">
        <v>-100</v>
      </c>
      <c r="R566" t="n">
        <v>0.1277</v>
      </c>
      <c r="S566">
        <f>IMAGE("https://mitra.stanford.edu/kundaje/oak/projects/neuro-variants/variant_position/credible/roussos_2024/variant_figures/roussos_2024.infant.GLU/rs11824327_count_position.png",4,220,900)</f>
        <v/>
      </c>
      <c r="T566">
        <f>IMAGE("https://mitra.stanford.edu/kundaje/oak/projects/neuro-variants/variant_position/credible/roussos_2024/variant_figures/roussos_2024.infant.GLU/rs11824327_profile_position.png",4,220,900)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-0.00289662864</v>
      </c>
      <c r="G567" t="n">
        <v>0.8053828989227086</v>
      </c>
      <c r="H567" t="n">
        <v>0.0407044300548686</v>
      </c>
      <c r="I567" t="n">
        <v>0.0188378589649316</v>
      </c>
      <c r="J567" t="n">
        <v>0.152407460481933</v>
      </c>
      <c r="K567" t="n">
        <v>0.1424840329983571</v>
      </c>
      <c r="L567" t="b">
        <v>1</v>
      </c>
      <c r="M567" t="b">
        <v>0</v>
      </c>
      <c r="N567" t="inlineStr">
        <is>
          <t>ref</t>
        </is>
      </c>
      <c r="O567" t="n">
        <v>100</v>
      </c>
      <c r="P567" t="n">
        <v>0.02856</v>
      </c>
      <c r="Q567" t="n">
        <v>-100</v>
      </c>
      <c r="R567" t="n">
        <v>0.2134</v>
      </c>
      <c r="S567">
        <f>IMAGE("https://mitra.stanford.edu/kundaje/oak/projects/neuro-variants/variant_position/credible/roussos_2024/variant_figures/roussos_2024.infant.GLU/rs7938960_count_position.png",4,220,900)</f>
        <v/>
      </c>
      <c r="T567">
        <f>IMAGE("https://mitra.stanford.edu/kundaje/oak/projects/neuro-variants/variant_position/credible/roussos_2024/variant_figures/roussos_2024.infant.GLU/rs7938960_profile_position.png",4,220,900)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-0.0441576528</v>
      </c>
      <c r="G568" t="n">
        <v>0.2054826926588915</v>
      </c>
      <c r="H568" t="n">
        <v>0.0417274136887023</v>
      </c>
      <c r="I568" t="n">
        <v>0.0169954798573613</v>
      </c>
      <c r="J568" t="n">
        <v>0.0276582376154676</v>
      </c>
      <c r="K568" t="n">
        <v>0.4743106042835112</v>
      </c>
      <c r="L568" t="b">
        <v>1</v>
      </c>
      <c r="M568" t="b">
        <v>0</v>
      </c>
      <c r="N568" t="inlineStr">
        <is>
          <t>ref</t>
        </is>
      </c>
      <c r="O568" t="n">
        <v>-100</v>
      </c>
      <c r="P568" t="n">
        <v>0.0531</v>
      </c>
      <c r="Q568" t="n">
        <v>-100</v>
      </c>
      <c r="R568" t="n">
        <v>0.08935999999999999</v>
      </c>
      <c r="S568">
        <f>IMAGE("https://mitra.stanford.edu/kundaje/oak/projects/neuro-variants/variant_position/credible/roussos_2024/variant_figures/roussos_2024.infant.GLU/rs11039012_count_position.png",4,220,900)</f>
        <v/>
      </c>
      <c r="T568">
        <f>IMAGE("https://mitra.stanford.edu/kundaje/oak/projects/neuro-variants/variant_position/credible/roussos_2024/variant_figures/roussos_2024.infant.GLU/rs11039012_profile_position.png",4,220,900)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-0.00591157008</v>
      </c>
      <c r="G569" t="n">
        <v>0.4728797566475876</v>
      </c>
      <c r="H569" t="n">
        <v>0.0127395923487681</v>
      </c>
      <c r="I569" t="n">
        <v>0.5017361816341031</v>
      </c>
      <c r="J569" t="n">
        <v>0.0032165612116668</v>
      </c>
      <c r="K569" t="n">
        <v>0.8158997731009497</v>
      </c>
      <c r="L569" t="b">
        <v>0</v>
      </c>
      <c r="M569" t="b">
        <v>0</v>
      </c>
      <c r="N569" t="inlineStr">
        <is>
          <t>ref</t>
        </is>
      </c>
      <c r="O569" t="n">
        <v>45</v>
      </c>
      <c r="P569" t="n">
        <v>0.000946</v>
      </c>
      <c r="Q569" t="n">
        <v>-70</v>
      </c>
      <c r="R569" t="n">
        <v>0.0852</v>
      </c>
      <c r="S569">
        <f>IMAGE("https://mitra.stanford.edu/kundaje/oak/projects/neuro-variants/variant_position/credible/roussos_2024/variant_figures/roussos_2024.infant.GLU/rs12273360_count_position.png",4,220,900)</f>
        <v/>
      </c>
      <c r="T569">
        <f>IMAGE("https://mitra.stanford.edu/kundaje/oak/projects/neuro-variants/variant_position/credible/roussos_2024/variant_figures/roussos_2024.infant.GLU/rs12273360_profile_position.png",4,220,900)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0.1510827832</v>
      </c>
      <c r="G570" t="n">
        <v>0.0228005725869543</v>
      </c>
      <c r="H570" t="n">
        <v>0.045619924819697</v>
      </c>
      <c r="I570" t="n">
        <v>0.0118386994009961</v>
      </c>
      <c r="J570" t="n">
        <v>0.0728598514076588</v>
      </c>
      <c r="K570" t="n">
        <v>0.2630891139866436</v>
      </c>
      <c r="L570" t="b">
        <v>1</v>
      </c>
      <c r="M570" t="b">
        <v>0</v>
      </c>
      <c r="N570" t="inlineStr">
        <is>
          <t>alt</t>
        </is>
      </c>
      <c r="O570" t="n">
        <v>20</v>
      </c>
      <c r="P570" t="n">
        <v>0.03247</v>
      </c>
      <c r="Q570" t="n">
        <v>15</v>
      </c>
      <c r="R570" t="n">
        <v>0.0498</v>
      </c>
      <c r="S570">
        <f>IMAGE("https://mitra.stanford.edu/kundaje/oak/projects/neuro-variants/variant_position/credible/roussos_2024/variant_figures/roussos_2024.infant.GLU/rs61898529_count_position.png",4,220,900)</f>
        <v/>
      </c>
      <c r="T570">
        <f>IMAGE("https://mitra.stanford.edu/kundaje/oak/projects/neuro-variants/variant_position/credible/roussos_2024/variant_figures/roussos_2024.infant.GLU/rs61898529_profile_position.png",4,220,900)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-0.0343417438</v>
      </c>
      <c r="G571" t="n">
        <v>0.2738510512668431</v>
      </c>
      <c r="H571" t="n">
        <v>0.0128227617741719</v>
      </c>
      <c r="I571" t="n">
        <v>0.4935619145140692</v>
      </c>
      <c r="J571" t="n">
        <v>0.3062380123018585</v>
      </c>
      <c r="K571" t="n">
        <v>0.0666041632189414</v>
      </c>
      <c r="L571" t="b">
        <v>0</v>
      </c>
      <c r="M571" t="b">
        <v>0</v>
      </c>
      <c r="N571" t="inlineStr">
        <is>
          <t>ref</t>
        </is>
      </c>
      <c r="O571" t="n">
        <v>80</v>
      </c>
      <c r="P571" t="n">
        <v>0.01695</v>
      </c>
      <c r="Q571" t="n">
        <v>-55</v>
      </c>
      <c r="R571" t="n">
        <v>0.2908</v>
      </c>
      <c r="S571">
        <f>IMAGE("https://mitra.stanford.edu/kundaje/oak/projects/neuro-variants/variant_position/credible/roussos_2024/variant_figures/roussos_2024.infant.GLU/rs7128102_count_position.png",4,220,900)</f>
        <v/>
      </c>
      <c r="T571">
        <f>IMAGE("https://mitra.stanford.edu/kundaje/oak/projects/neuro-variants/variant_position/credible/roussos_2024/variant_figures/roussos_2024.infant.GLU/rs7128102_profile_position.png",4,220,900)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-0.0538811312</v>
      </c>
      <c r="G572" t="n">
        <v>0.1513098401241689</v>
      </c>
      <c r="H572" t="n">
        <v>0.012789210493721</v>
      </c>
      <c r="I572" t="n">
        <v>0.499004467864361</v>
      </c>
      <c r="J572" t="n">
        <v>0.4144943671597698</v>
      </c>
      <c r="K572" t="n">
        <v>0.0427645079050014</v>
      </c>
      <c r="L572" t="b">
        <v>0</v>
      </c>
      <c r="M572" t="b">
        <v>0</v>
      </c>
      <c r="N572" t="inlineStr">
        <is>
          <t>ref</t>
        </is>
      </c>
      <c r="O572" t="n">
        <v>80</v>
      </c>
      <c r="P572" t="n">
        <v>0.007416</v>
      </c>
      <c r="Q572" t="n">
        <v>-65</v>
      </c>
      <c r="R572" t="n">
        <v>0.1481</v>
      </c>
      <c r="S572">
        <f>IMAGE("https://mitra.stanford.edu/kundaje/oak/projects/neuro-variants/variant_position/credible/roussos_2024/variant_figures/roussos_2024.infant.GLU/rs7120113_count_position.png",4,220,900)</f>
        <v/>
      </c>
      <c r="T572">
        <f>IMAGE("https://mitra.stanford.edu/kundaje/oak/projects/neuro-variants/variant_position/credible/roussos_2024/variant_figures/roussos_2024.infant.GLU/rs7120113_profile_position.png",4,220,900)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-0.0054477678</v>
      </c>
      <c r="G573" t="n">
        <v>0.5343829423324551</v>
      </c>
      <c r="H573" t="n">
        <v>0.06776715966597251</v>
      </c>
      <c r="I573" t="n">
        <v>0.0016242087103258</v>
      </c>
      <c r="J573" t="n">
        <v>0.0208194625101963</v>
      </c>
      <c r="K573" t="n">
        <v>0.5289050305405945</v>
      </c>
      <c r="L573" t="b">
        <v>1</v>
      </c>
      <c r="M573" t="b">
        <v>0</v>
      </c>
      <c r="N573" t="inlineStr">
        <is>
          <t>ref</t>
        </is>
      </c>
      <c r="O573" t="n">
        <v>-100</v>
      </c>
      <c r="P573" t="n">
        <v>0.673</v>
      </c>
      <c r="Q573" t="n">
        <v>-75</v>
      </c>
      <c r="R573" t="n">
        <v>0.11017</v>
      </c>
      <c r="S573">
        <f>IMAGE("https://mitra.stanford.edu/kundaje/oak/projects/neuro-variants/variant_position/credible/roussos_2024/variant_figures/roussos_2024.infant.GLU/rs118012321_count_position.png",4,220,900)</f>
        <v/>
      </c>
      <c r="T573">
        <f>IMAGE("https://mitra.stanford.edu/kundaje/oak/projects/neuro-variants/variant_position/credible/roussos_2024/variant_figures/roussos_2024.infant.GLU/rs118012321_profile_position.png",4,220,900)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-0.059801239</v>
      </c>
      <c r="G574" t="n">
        <v>0.1287259259741373</v>
      </c>
      <c r="H574" t="n">
        <v>0.0131021435661158</v>
      </c>
      <c r="I574" t="n">
        <v>0.4725188100260636</v>
      </c>
      <c r="J574" t="n">
        <v>0.1211600784849753</v>
      </c>
      <c r="K574" t="n">
        <v>0.1766488852867463</v>
      </c>
      <c r="L574" t="b">
        <v>0</v>
      </c>
      <c r="M574" t="b">
        <v>0</v>
      </c>
      <c r="N574" t="inlineStr">
        <is>
          <t>ref</t>
        </is>
      </c>
      <c r="O574" t="n">
        <v>100</v>
      </c>
      <c r="P574" t="n">
        <v>0.01797</v>
      </c>
      <c r="Q574" t="n">
        <v>-20</v>
      </c>
      <c r="R574" t="n">
        <v>0.001465</v>
      </c>
      <c r="S574">
        <f>IMAGE("https://mitra.stanford.edu/kundaje/oak/projects/neuro-variants/variant_position/credible/roussos_2024/variant_figures/roussos_2024.infant.GLU/rs10838660_count_position.png",4,220,900)</f>
        <v/>
      </c>
      <c r="T574">
        <f>IMAGE("https://mitra.stanford.edu/kundaje/oak/projects/neuro-variants/variant_position/credible/roussos_2024/variant_figures/roussos_2024.infant.GLU/rs10838660_profile_position.png",4,220,900)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0.04542412126</v>
      </c>
      <c r="G575" t="n">
        <v>0.21465332771115</v>
      </c>
      <c r="H575" t="n">
        <v>0.0160698970790714</v>
      </c>
      <c r="I575" t="n">
        <v>0.3103448666472481</v>
      </c>
      <c r="J575" t="n">
        <v>0.0247359950616194</v>
      </c>
      <c r="K575" t="n">
        <v>0.5195303785180702</v>
      </c>
      <c r="L575" t="b">
        <v>0</v>
      </c>
      <c r="M575" t="b">
        <v>0</v>
      </c>
      <c r="N575" t="inlineStr">
        <is>
          <t>alt</t>
        </is>
      </c>
      <c r="O575" t="n">
        <v>-70</v>
      </c>
      <c r="P575" t="n">
        <v>0.002249</v>
      </c>
      <c r="Q575" t="n">
        <v>10</v>
      </c>
      <c r="R575" t="n">
        <v>0.04175</v>
      </c>
      <c r="S575">
        <f>IMAGE("https://mitra.stanford.edu/kundaje/oak/projects/neuro-variants/variant_position/credible/roussos_2024/variant_figures/roussos_2024.infant.GLU/rs7121418_count_position.png",4,220,900)</f>
        <v/>
      </c>
      <c r="T575">
        <f>IMAGE("https://mitra.stanford.edu/kundaje/oak/projects/neuro-variants/variant_position/credible/roussos_2024/variant_figures/roussos_2024.infant.GLU/rs7121418_profile_position.png",4,220,900)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-0.0834305914</v>
      </c>
      <c r="G576" t="n">
        <v>0.0819769589695868</v>
      </c>
      <c r="H576" t="n">
        <v>0.0147691945830329</v>
      </c>
      <c r="I576" t="n">
        <v>0.3762889935642743</v>
      </c>
      <c r="J576" t="n">
        <v>0.2034215921867765</v>
      </c>
      <c r="K576" t="n">
        <v>0.1068022988706986</v>
      </c>
      <c r="L576" t="b">
        <v>0</v>
      </c>
      <c r="M576" t="b">
        <v>0</v>
      </c>
      <c r="N576" t="inlineStr">
        <is>
          <t>ref</t>
        </is>
      </c>
      <c r="O576" t="n">
        <v>100</v>
      </c>
      <c r="P576" t="n">
        <v>0.1714</v>
      </c>
      <c r="Q576" t="n">
        <v>-50</v>
      </c>
      <c r="R576" t="n">
        <v>0.077</v>
      </c>
      <c r="S576">
        <f>IMAGE("https://mitra.stanford.edu/kundaje/oak/projects/neuro-variants/variant_position/credible/roussos_2024/variant_figures/roussos_2024.infant.GLU/rs1631684_count_position.png",4,220,900)</f>
        <v/>
      </c>
      <c r="T576">
        <f>IMAGE("https://mitra.stanford.edu/kundaje/oak/projects/neuro-variants/variant_position/credible/roussos_2024/variant_figures/roussos_2024.infant.GLU/rs1631684_profile_position.png",4,220,900)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0.07970076099999999</v>
      </c>
      <c r="G577" t="n">
        <v>0.0864065949970013</v>
      </c>
      <c r="H577" t="n">
        <v>0.028978753086077</v>
      </c>
      <c r="I577" t="n">
        <v>0.0660590109649629</v>
      </c>
      <c r="J577" t="n">
        <v>0.3466754117154257</v>
      </c>
      <c r="K577" t="n">
        <v>0.0574510057601577</v>
      </c>
      <c r="L577" t="b">
        <v>0</v>
      </c>
      <c r="M577" t="b">
        <v>0</v>
      </c>
      <c r="N577" t="inlineStr">
        <is>
          <t>alt</t>
        </is>
      </c>
      <c r="O577" t="n">
        <v>70</v>
      </c>
      <c r="P577" t="n">
        <v>0.07480000000000001</v>
      </c>
      <c r="Q577" t="n">
        <v>70</v>
      </c>
      <c r="R577" t="n">
        <v>0.2346</v>
      </c>
      <c r="S577">
        <f>IMAGE("https://mitra.stanford.edu/kundaje/oak/projects/neuro-variants/variant_position/credible/roussos_2024/variant_figures/roussos_2024.infant.GLU/rs499188_count_position.png",4,220,900)</f>
        <v/>
      </c>
      <c r="T577">
        <f>IMAGE("https://mitra.stanford.edu/kundaje/oak/projects/neuro-variants/variant_position/credible/roussos_2024/variant_figures/roussos_2024.infant.GLU/rs499188_profile_position.png",4,220,900)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-0.155294672</v>
      </c>
      <c r="G578" t="n">
        <v>0.0210346092903778</v>
      </c>
      <c r="H578" t="n">
        <v>0.0326315316720718</v>
      </c>
      <c r="I578" t="n">
        <v>0.0454183393111252</v>
      </c>
      <c r="J578" t="n">
        <v>0.8524184836526378</v>
      </c>
      <c r="K578" t="n">
        <v>0.0055238706394887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0.01968</v>
      </c>
      <c r="Q578" t="n">
        <v>95</v>
      </c>
      <c r="R578" t="n">
        <v>0.2407</v>
      </c>
      <c r="S578">
        <f>IMAGE("https://mitra.stanford.edu/kundaje/oak/projects/neuro-variants/variant_position/credible/roussos_2024/variant_figures/roussos_2024.infant.GLU/rs12146541_count_position.png",4,220,900)</f>
        <v/>
      </c>
      <c r="T578">
        <f>IMAGE("https://mitra.stanford.edu/kundaje/oak/projects/neuro-variants/variant_position/credible/roussos_2024/variant_figures/roussos_2024.infant.GLU/rs12146541_profile_position.png",4,220,900)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-0.04878004168</v>
      </c>
      <c r="G579" t="n">
        <v>0.1913838818676864</v>
      </c>
      <c r="H579" t="n">
        <v>0.0186774385614762</v>
      </c>
      <c r="I579" t="n">
        <v>0.2188254953651842</v>
      </c>
      <c r="J579" t="n">
        <v>0.07387067616129089</v>
      </c>
      <c r="K579" t="n">
        <v>0.2736425469943241</v>
      </c>
      <c r="L579" t="b">
        <v>0</v>
      </c>
      <c r="M579" t="b">
        <v>0</v>
      </c>
      <c r="N579" t="inlineStr">
        <is>
          <t>ref</t>
        </is>
      </c>
      <c r="O579" t="n">
        <v>60</v>
      </c>
      <c r="P579" t="n">
        <v>0.02191</v>
      </c>
      <c r="Q579" t="n">
        <v>85</v>
      </c>
      <c r="R579" t="n">
        <v>0.05603</v>
      </c>
      <c r="S579">
        <f>IMAGE("https://mitra.stanford.edu/kundaje/oak/projects/neuro-variants/variant_position/credible/roussos_2024/variant_figures/roussos_2024.infant.GLU/rs35808061_count_position.png",4,220,900)</f>
        <v/>
      </c>
      <c r="T579">
        <f>IMAGE("https://mitra.stanford.edu/kundaje/oak/projects/neuro-variants/variant_position/credible/roussos_2024/variant_figures/roussos_2024.infant.GLU/rs35808061_profile_position.png",4,220,900)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0.0689969216</v>
      </c>
      <c r="G580" t="n">
        <v>0.0967877082396937</v>
      </c>
      <c r="H580" t="n">
        <v>0.0118748028567076</v>
      </c>
      <c r="I580" t="n">
        <v>0.5692774878774735</v>
      </c>
      <c r="J580" t="n">
        <v>0.0271181022509314</v>
      </c>
      <c r="K580" t="n">
        <v>0.4782509546738684</v>
      </c>
      <c r="L580" t="b">
        <v>0</v>
      </c>
      <c r="M580" t="b">
        <v>0</v>
      </c>
      <c r="N580" t="inlineStr">
        <is>
          <t>alt</t>
        </is>
      </c>
      <c r="O580" t="n">
        <v>-100</v>
      </c>
      <c r="P580" t="n">
        <v>0.01101</v>
      </c>
      <c r="Q580" t="n">
        <v>-5</v>
      </c>
      <c r="R580" t="n">
        <v>0.001099</v>
      </c>
      <c r="S580">
        <f>IMAGE("https://mitra.stanford.edu/kundaje/oak/projects/neuro-variants/variant_position/credible/roussos_2024/variant_figures/roussos_2024.infant.GLU/rs11570181_count_position.png",4,220,900)</f>
        <v/>
      </c>
      <c r="T580">
        <f>IMAGE("https://mitra.stanford.edu/kundaje/oak/projects/neuro-variants/variant_position/credible/roussos_2024/variant_figures/roussos_2024.infant.GLU/rs11570181_profile_position.png",4,220,900)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-0.0187416217999999</v>
      </c>
      <c r="G581" t="n">
        <v>0.4658787843028018</v>
      </c>
      <c r="H581" t="n">
        <v>0.0531270088069429</v>
      </c>
      <c r="I581" t="n">
        <v>0.0059534337077719</v>
      </c>
      <c r="J581" t="n">
        <v>0.0115588968010758</v>
      </c>
      <c r="K581" t="n">
        <v>0.6345476004741555</v>
      </c>
      <c r="L581" t="b">
        <v>1</v>
      </c>
      <c r="M581" t="b">
        <v>0</v>
      </c>
      <c r="N581" t="inlineStr">
        <is>
          <t>ref</t>
        </is>
      </c>
      <c r="O581" t="n">
        <v>35</v>
      </c>
      <c r="P581" t="n">
        <v>0.007324</v>
      </c>
      <c r="Q581" t="n">
        <v>30</v>
      </c>
      <c r="R581" t="n">
        <v>0.02736</v>
      </c>
      <c r="S581">
        <f>IMAGE("https://mitra.stanford.edu/kundaje/oak/projects/neuro-variants/variant_position/credible/roussos_2024/variant_figures/roussos_2024.infant.GLU/rs1268667_count_position.png",4,220,900)</f>
        <v/>
      </c>
      <c r="T581">
        <f>IMAGE("https://mitra.stanford.edu/kundaje/oak/projects/neuro-variants/variant_position/credible/roussos_2024/variant_figures/roussos_2024.infant.GLU/rs1268667_profile_position.png",4,220,900)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0.0259417064</v>
      </c>
      <c r="G582" t="n">
        <v>0.2675483514770239</v>
      </c>
      <c r="H582" t="n">
        <v>0.009544784332533999</v>
      </c>
      <c r="I582" t="n">
        <v>0.7825852202519803</v>
      </c>
      <c r="J582" t="n">
        <v>0.2478427654930663</v>
      </c>
      <c r="K582" t="n">
        <v>0.08697195863735301</v>
      </c>
      <c r="L582" t="b">
        <v>0</v>
      </c>
      <c r="M582" t="b">
        <v>0</v>
      </c>
      <c r="N582" t="inlineStr">
        <is>
          <t>alt</t>
        </is>
      </c>
      <c r="O582" t="n">
        <v>-60</v>
      </c>
      <c r="P582" t="n">
        <v>0.01044</v>
      </c>
      <c r="Q582" t="n">
        <v>-65</v>
      </c>
      <c r="R582" t="n">
        <v>0.1013</v>
      </c>
      <c r="S582">
        <f>IMAGE("https://mitra.stanford.edu/kundaje/oak/projects/neuro-variants/variant_position/credible/roussos_2024/variant_figures/roussos_2024.infant.GLU/rs4980505_count_position.png",4,220,900)</f>
        <v/>
      </c>
      <c r="T582">
        <f>IMAGE("https://mitra.stanford.edu/kundaje/oak/projects/neuro-variants/variant_position/credible/roussos_2024/variant_figures/roussos_2024.infant.GLU/rs4980505_profile_position.png",4,220,900)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-0.0122008917</v>
      </c>
      <c r="G583" t="n">
        <v>0.5646065646346722</v>
      </c>
      <c r="H583" t="n">
        <v>0.009606822282087301</v>
      </c>
      <c r="I583" t="n">
        <v>0.7755661826546211</v>
      </c>
      <c r="J583" t="n">
        <v>0.1498831543905288</v>
      </c>
      <c r="K583" t="n">
        <v>0.1490134660258161</v>
      </c>
      <c r="L583" t="b">
        <v>0</v>
      </c>
      <c r="M583" t="b">
        <v>0</v>
      </c>
      <c r="N583" t="inlineStr">
        <is>
          <t>ref</t>
        </is>
      </c>
      <c r="O583" t="n">
        <v>100</v>
      </c>
      <c r="P583" t="n">
        <v>0.00906</v>
      </c>
      <c r="Q583" t="n">
        <v>-15</v>
      </c>
      <c r="R583" t="n">
        <v>0.01382</v>
      </c>
      <c r="S583">
        <f>IMAGE("https://mitra.stanford.edu/kundaje/oak/projects/neuro-variants/variant_position/credible/roussos_2024/variant_figures/roussos_2024.infant.GLU/rs2014328_count_position.png",4,220,900)</f>
        <v/>
      </c>
      <c r="T583">
        <f>IMAGE("https://mitra.stanford.edu/kundaje/oak/projects/neuro-variants/variant_position/credible/roussos_2024/variant_figures/roussos_2024.infant.GLU/rs2014328_profile_position.png",4,220,900)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-0.167078862</v>
      </c>
      <c r="G584" t="n">
        <v>0.017276163508507</v>
      </c>
      <c r="H584" t="n">
        <v>0.0228798033737781</v>
      </c>
      <c r="I584" t="n">
        <v>0.1328180946839536</v>
      </c>
      <c r="J584" t="n">
        <v>0.1466114773253378</v>
      </c>
      <c r="K584" t="n">
        <v>0.1500776348512678</v>
      </c>
      <c r="L584" t="b">
        <v>1</v>
      </c>
      <c r="M584" t="b">
        <v>0</v>
      </c>
      <c r="N584" t="inlineStr">
        <is>
          <t>ref</t>
        </is>
      </c>
      <c r="O584" t="n">
        <v>-30</v>
      </c>
      <c r="P584" t="n">
        <v>0.001518</v>
      </c>
      <c r="Q584" t="n">
        <v>-50</v>
      </c>
      <c r="R584" t="n">
        <v>0.04175</v>
      </c>
      <c r="S584">
        <f>IMAGE("https://mitra.stanford.edu/kundaje/oak/projects/neuro-variants/variant_position/credible/roussos_2024/variant_figures/roussos_2024.infant.GLU/rs478294_count_position.png",4,220,900)</f>
        <v/>
      </c>
      <c r="T584">
        <f>IMAGE("https://mitra.stanford.edu/kundaje/oak/projects/neuro-variants/variant_position/credible/roussos_2024/variant_figures/roussos_2024.infant.GLU/rs478294_profile_position.png",4,220,900)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-0.0979052601999999</v>
      </c>
      <c r="G585" t="n">
        <v>0.0548067068223971</v>
      </c>
      <c r="H585" t="n">
        <v>0.0266776993969069</v>
      </c>
      <c r="I585" t="n">
        <v>0.0850140416058148</v>
      </c>
      <c r="J585" t="n">
        <v>0.72199343019026</v>
      </c>
      <c r="K585" t="n">
        <v>0.0128455921904629</v>
      </c>
      <c r="L585" t="b">
        <v>0</v>
      </c>
      <c r="M585" t="b">
        <v>0</v>
      </c>
      <c r="N585" t="inlineStr">
        <is>
          <t>ref</t>
        </is>
      </c>
      <c r="O585" t="n">
        <v>65</v>
      </c>
      <c r="P585" t="n">
        <v>0.00589</v>
      </c>
      <c r="Q585" t="n">
        <v>0</v>
      </c>
      <c r="R585" t="n">
        <v>0</v>
      </c>
      <c r="S585">
        <f>IMAGE("https://mitra.stanford.edu/kundaje/oak/projects/neuro-variants/variant_position/credible/roussos_2024/variant_figures/roussos_2024.infant.GLU/rs540741_count_position.png",4,220,900)</f>
        <v/>
      </c>
      <c r="T585">
        <f>IMAGE("https://mitra.stanford.edu/kundaje/oak/projects/neuro-variants/variant_position/credible/roussos_2024/variant_figures/roussos_2024.infant.GLU/rs540741_profile_position.png",4,220,900)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-0.1877527179999999</v>
      </c>
      <c r="G586" t="n">
        <v>0.012213628465211</v>
      </c>
      <c r="H586" t="n">
        <v>0.0333732292762774</v>
      </c>
      <c r="I586" t="n">
        <v>0.040497060092739</v>
      </c>
      <c r="J586" t="n">
        <v>0.7453647567186226</v>
      </c>
      <c r="K586" t="n">
        <v>0.0114751501369978</v>
      </c>
      <c r="L586" t="b">
        <v>1</v>
      </c>
      <c r="M586" t="b">
        <v>0</v>
      </c>
      <c r="N586" t="inlineStr">
        <is>
          <t>ref</t>
        </is>
      </c>
      <c r="O586" t="n">
        <v>100</v>
      </c>
      <c r="P586" t="n">
        <v>0.04578</v>
      </c>
      <c r="Q586" t="n">
        <v>95</v>
      </c>
      <c r="R586" t="n">
        <v>0.2019</v>
      </c>
      <c r="S586">
        <f>IMAGE("https://mitra.stanford.edu/kundaje/oak/projects/neuro-variants/variant_position/credible/roussos_2024/variant_figures/roussos_2024.infant.GLU/rs562664_count_position.png",4,220,900)</f>
        <v/>
      </c>
      <c r="T586">
        <f>IMAGE("https://mitra.stanford.edu/kundaje/oak/projects/neuro-variants/variant_position/credible/roussos_2024/variant_figures/roussos_2024.infant.GLU/rs562664_profile_position.png",4,220,900)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0.0324727056</v>
      </c>
      <c r="G587" t="n">
        <v>0.2882550747528785</v>
      </c>
      <c r="H587" t="n">
        <v>0.007872759137629399</v>
      </c>
      <c r="I587" t="n">
        <v>0.9158076974568974</v>
      </c>
      <c r="J587" t="n">
        <v>0.0016126898741153</v>
      </c>
      <c r="K587" t="n">
        <v>0.8531984662626614</v>
      </c>
      <c r="L587" t="b">
        <v>0</v>
      </c>
      <c r="M587" t="b">
        <v>0</v>
      </c>
      <c r="N587" t="inlineStr">
        <is>
          <t>alt</t>
        </is>
      </c>
      <c r="O587" t="n">
        <v>45</v>
      </c>
      <c r="P587" t="n">
        <v>0.0915</v>
      </c>
      <c r="Q587" t="n">
        <v>70</v>
      </c>
      <c r="R587" t="n">
        <v>0.01782</v>
      </c>
      <c r="S587">
        <f>IMAGE("https://mitra.stanford.edu/kundaje/oak/projects/neuro-variants/variant_position/credible/roussos_2024/variant_figures/roussos_2024.infant.GLU/rs4930355_count_position.png",4,220,900)</f>
        <v/>
      </c>
      <c r="T587">
        <f>IMAGE("https://mitra.stanford.edu/kundaje/oak/projects/neuro-variants/variant_position/credible/roussos_2024/variant_figures/roussos_2024.infant.GLU/rs4930355_profile_position.png",4,220,900)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0.00145568818</v>
      </c>
      <c r="G588" t="n">
        <v>0.8390952251751035</v>
      </c>
      <c r="H588" t="n">
        <v>0.0328225737501839</v>
      </c>
      <c r="I588" t="n">
        <v>0.0424300074595567</v>
      </c>
      <c r="J588" t="n">
        <v>0.0244824621354085</v>
      </c>
      <c r="K588" t="n">
        <v>0.4957249329635614</v>
      </c>
      <c r="L588" t="b">
        <v>0</v>
      </c>
      <c r="M588" t="b">
        <v>0</v>
      </c>
      <c r="N588" t="inlineStr">
        <is>
          <t>alt</t>
        </is>
      </c>
      <c r="O588" t="n">
        <v>65</v>
      </c>
      <c r="P588" t="n">
        <v>0.007324</v>
      </c>
      <c r="Q588" t="n">
        <v>70</v>
      </c>
      <c r="R588" t="n">
        <v>0.1186</v>
      </c>
      <c r="S588">
        <f>IMAGE("https://mitra.stanford.edu/kundaje/oak/projects/neuro-variants/variant_position/credible/roussos_2024/variant_figures/roussos_2024.infant.GLU/rs11227649_count_position.png",4,220,900)</f>
        <v/>
      </c>
      <c r="T588">
        <f>IMAGE("https://mitra.stanford.edu/kundaje/oak/projects/neuro-variants/variant_position/credible/roussos_2024/variant_figures/roussos_2024.infant.GLU/rs11227649_profile_position.png",4,220,900)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-0.1636438699999999</v>
      </c>
      <c r="G589" t="n">
        <v>0.0169090011097759</v>
      </c>
      <c r="H589" t="n">
        <v>0.0266891980783798</v>
      </c>
      <c r="I589" t="n">
        <v>0.0841856497390702</v>
      </c>
      <c r="J589" t="n">
        <v>0.0508157146321567</v>
      </c>
      <c r="K589" t="n">
        <v>0.3476724162869127</v>
      </c>
      <c r="L589" t="b">
        <v>1</v>
      </c>
      <c r="M589" t="b">
        <v>0</v>
      </c>
      <c r="N589" t="inlineStr">
        <is>
          <t>ref</t>
        </is>
      </c>
      <c r="O589" t="n">
        <v>-100</v>
      </c>
      <c r="P589" t="n">
        <v>0.005352</v>
      </c>
      <c r="Q589" t="n">
        <v>-60</v>
      </c>
      <c r="R589" t="n">
        <v>0.05322</v>
      </c>
      <c r="S589">
        <f>IMAGE("https://mitra.stanford.edu/kundaje/oak/projects/neuro-variants/variant_position/credible/roussos_2024/variant_figures/roussos_2024.infant.GLU/rs1253435_count_position.png",4,220,900)</f>
        <v/>
      </c>
      <c r="T589">
        <f>IMAGE("https://mitra.stanford.edu/kundaje/oak/projects/neuro-variants/variant_position/credible/roussos_2024/variant_figures/roussos_2024.infant.GLU/rs1253435_profile_position.png",4,220,900)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-0.09180757520000001</v>
      </c>
      <c r="G590" t="n">
        <v>0.0685615480457801</v>
      </c>
      <c r="H590" t="n">
        <v>0.0275010811717262</v>
      </c>
      <c r="I590" t="n">
        <v>0.08163004998318869</v>
      </c>
      <c r="J590" t="n">
        <v>0.5725501003108534</v>
      </c>
      <c r="K590" t="n">
        <v>0.0234311667753329</v>
      </c>
      <c r="L590" t="b">
        <v>0</v>
      </c>
      <c r="M590" t="b">
        <v>0</v>
      </c>
      <c r="N590" t="inlineStr">
        <is>
          <t>ref</t>
        </is>
      </c>
      <c r="O590" t="n">
        <v>-50</v>
      </c>
      <c r="P590" t="n">
        <v>0.003325</v>
      </c>
      <c r="Q590" t="n">
        <v>-100</v>
      </c>
      <c r="R590" t="n">
        <v>0.04175</v>
      </c>
      <c r="S590">
        <f>IMAGE("https://mitra.stanford.edu/kundaje/oak/projects/neuro-variants/variant_position/credible/roussos_2024/variant_figures/roussos_2024.infant.GLU/rs112437913_count_position.png",4,220,900)</f>
        <v/>
      </c>
      <c r="T590">
        <f>IMAGE("https://mitra.stanford.edu/kundaje/oak/projects/neuro-variants/variant_position/credible/roussos_2024/variant_figures/roussos_2024.infant.GLU/rs112437913_profile_position.png",4,220,900)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0.10957949</v>
      </c>
      <c r="G591" t="n">
        <v>0.0428341079653205</v>
      </c>
      <c r="H591" t="n">
        <v>0.0153412733722712</v>
      </c>
      <c r="I591" t="n">
        <v>0.3522461500584677</v>
      </c>
      <c r="J591" t="n">
        <v>0.00978526863467</v>
      </c>
      <c r="K591" t="n">
        <v>0.663294292974096</v>
      </c>
      <c r="L591" t="b">
        <v>0</v>
      </c>
      <c r="M591" t="b">
        <v>0</v>
      </c>
      <c r="N591" t="inlineStr">
        <is>
          <t>alt</t>
        </is>
      </c>
      <c r="O591" t="n">
        <v>100</v>
      </c>
      <c r="P591" t="n">
        <v>0.01895</v>
      </c>
      <c r="Q591" t="n">
        <v>100</v>
      </c>
      <c r="R591" t="n">
        <v>0.1917</v>
      </c>
      <c r="S591">
        <f>IMAGE("https://mitra.stanford.edu/kundaje/oak/projects/neuro-variants/variant_position/credible/roussos_2024/variant_figures/roussos_2024.infant.GLU/rs1893846_count_position.png",4,220,900)</f>
        <v/>
      </c>
      <c r="T591">
        <f>IMAGE("https://mitra.stanford.edu/kundaje/oak/projects/neuro-variants/variant_position/credible/roussos_2024/variant_figures/roussos_2024.infant.GLU/rs1893846_profile_position.png",4,220,900)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-0.0182618334</v>
      </c>
      <c r="G592" t="n">
        <v>0.4705826626369112</v>
      </c>
      <c r="H592" t="n">
        <v>0.0362428203778941</v>
      </c>
      <c r="I592" t="n">
        <v>0.0297753961690177</v>
      </c>
      <c r="J592" t="n">
        <v>0.082606538944862</v>
      </c>
      <c r="K592" t="n">
        <v>0.2436641925636335</v>
      </c>
      <c r="L592" t="b">
        <v>0</v>
      </c>
      <c r="M592" t="b">
        <v>0</v>
      </c>
      <c r="N592" t="inlineStr">
        <is>
          <t>ref</t>
        </is>
      </c>
      <c r="O592" t="n">
        <v>100</v>
      </c>
      <c r="P592" t="n">
        <v>0.0376</v>
      </c>
      <c r="Q592" t="n">
        <v>100</v>
      </c>
      <c r="R592" t="n">
        <v>0.27</v>
      </c>
      <c r="S592">
        <f>IMAGE("https://mitra.stanford.edu/kundaje/oak/projects/neuro-variants/variant_position/credible/roussos_2024/variant_figures/roussos_2024.infant.GLU/rs2457246_count_position.png",4,220,900)</f>
        <v/>
      </c>
      <c r="T592">
        <f>IMAGE("https://mitra.stanford.edu/kundaje/oak/projects/neuro-variants/variant_position/credible/roussos_2024/variant_figures/roussos_2024.infant.GLU/rs2457246_profile_position.png",4,220,900)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-0.0087105629</v>
      </c>
      <c r="G593" t="n">
        <v>0.5576215718928779</v>
      </c>
      <c r="H593" t="n">
        <v>0.0116981746622662</v>
      </c>
      <c r="I593" t="n">
        <v>0.5772563834246147</v>
      </c>
      <c r="J593" t="n">
        <v>0.08078330651028449</v>
      </c>
      <c r="K593" t="n">
        <v>0.2477935167941581</v>
      </c>
      <c r="L593" t="b">
        <v>0</v>
      </c>
      <c r="M593" t="b">
        <v>0</v>
      </c>
      <c r="N593" t="inlineStr">
        <is>
          <t>ref</t>
        </is>
      </c>
      <c r="O593" t="n">
        <v>-100</v>
      </c>
      <c r="P593" t="n">
        <v>0.01353</v>
      </c>
      <c r="Q593" t="n">
        <v>-80</v>
      </c>
      <c r="R593" t="n">
        <v>0.08655</v>
      </c>
      <c r="S593">
        <f>IMAGE("https://mitra.stanford.edu/kundaje/oak/projects/neuro-variants/variant_position/credible/roussos_2024/variant_figures/roussos_2024.infant.GLU/rs591699_count_position.png",4,220,900)</f>
        <v/>
      </c>
      <c r="T593">
        <f>IMAGE("https://mitra.stanford.edu/kundaje/oak/projects/neuro-variants/variant_position/credible/roussos_2024/variant_figures/roussos_2024.infant.GLU/rs591699_profile_position.png",4,220,900)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0.08536063720000001</v>
      </c>
      <c r="G594" t="n">
        <v>0.07386844978204089</v>
      </c>
      <c r="H594" t="n">
        <v>0.0122979742491178</v>
      </c>
      <c r="I594" t="n">
        <v>0.5174953370569931</v>
      </c>
      <c r="J594" t="n">
        <v>0.0370775369827376</v>
      </c>
      <c r="K594" t="n">
        <v>0.4144030011909999</v>
      </c>
      <c r="L594" t="b">
        <v>0</v>
      </c>
      <c r="M594" t="b">
        <v>0</v>
      </c>
      <c r="N594" t="inlineStr">
        <is>
          <t>alt</t>
        </is>
      </c>
      <c r="O594" t="n">
        <v>100</v>
      </c>
      <c r="P594" t="n">
        <v>0.04742</v>
      </c>
      <c r="Q594" t="n">
        <v>60</v>
      </c>
      <c r="R594" t="n">
        <v>0.1709</v>
      </c>
      <c r="S594">
        <f>IMAGE("https://mitra.stanford.edu/kundaje/oak/projects/neuro-variants/variant_position/credible/roussos_2024/variant_figures/roussos_2024.infant.GLU/rs12789884_count_position.png",4,220,900)</f>
        <v/>
      </c>
      <c r="T594">
        <f>IMAGE("https://mitra.stanford.edu/kundaje/oak/projects/neuro-variants/variant_position/credible/roussos_2024/variant_figures/roussos_2024.infant.GLU/rs12789884_profile_position.png",4,220,900)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-0.035503245</v>
      </c>
      <c r="G595" t="n">
        <v>0.2829266043685074</v>
      </c>
      <c r="H595" t="n">
        <v>0.0309742256433552</v>
      </c>
      <c r="I595" t="n">
        <v>0.0517403263342615</v>
      </c>
      <c r="J595" t="n">
        <v>0.0323563129698626</v>
      </c>
      <c r="K595" t="n">
        <v>0.4368566091589046</v>
      </c>
      <c r="L595" t="b">
        <v>0</v>
      </c>
      <c r="M595" t="b">
        <v>0</v>
      </c>
      <c r="N595" t="inlineStr">
        <is>
          <t>ref</t>
        </is>
      </c>
      <c r="O595" t="n">
        <v>85</v>
      </c>
      <c r="P595" t="n">
        <v>0.01999</v>
      </c>
      <c r="Q595" t="n">
        <v>85</v>
      </c>
      <c r="R595" t="n">
        <v>0.02449</v>
      </c>
      <c r="S595">
        <f>IMAGE("https://mitra.stanford.edu/kundaje/oak/projects/neuro-variants/variant_position/credible/roussos_2024/variant_figures/roussos_2024.infant.GLU/rs71464734_count_position.png",4,220,900)</f>
        <v/>
      </c>
      <c r="T595">
        <f>IMAGE("https://mitra.stanford.edu/kundaje/oak/projects/neuro-variants/variant_position/credible/roussos_2024/variant_figures/roussos_2024.infant.GLU/rs71464734_profile_position.png",4,220,900)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-0.0049776212399999</v>
      </c>
      <c r="G596" t="n">
        <v>0.6989913067367497</v>
      </c>
      <c r="H596" t="n">
        <v>0.0309149102254231</v>
      </c>
      <c r="I596" t="n">
        <v>0.0521091184130203</v>
      </c>
      <c r="J596" t="n">
        <v>0.033258008333517</v>
      </c>
      <c r="K596" t="n">
        <v>0.4532715148434964</v>
      </c>
      <c r="L596" t="b">
        <v>0</v>
      </c>
      <c r="M596" t="b">
        <v>0</v>
      </c>
      <c r="N596" t="inlineStr">
        <is>
          <t>ref</t>
        </is>
      </c>
      <c r="O596" t="n">
        <v>-80</v>
      </c>
      <c r="P596" t="n">
        <v>0.009155</v>
      </c>
      <c r="Q596" t="n">
        <v>100</v>
      </c>
      <c r="R596" t="n">
        <v>0.06238</v>
      </c>
      <c r="S596">
        <f>IMAGE("https://mitra.stanford.edu/kundaje/oak/projects/neuro-variants/variant_position/credible/roussos_2024/variant_figures/roussos_2024.infant.GLU/rs722354_count_position.png",4,220,900)</f>
        <v/>
      </c>
      <c r="T596">
        <f>IMAGE("https://mitra.stanford.edu/kundaje/oak/projects/neuro-variants/variant_position/credible/roussos_2024/variant_figures/roussos_2024.infant.GLU/rs722354_profile_position.png",4,220,900)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-0.044688746</v>
      </c>
      <c r="G597" t="n">
        <v>0.1987733013790582</v>
      </c>
      <c r="H597" t="n">
        <v>0.0108144385803787</v>
      </c>
      <c r="I597" t="n">
        <v>0.6575335116567623</v>
      </c>
      <c r="J597" t="n">
        <v>0.0514374214599086</v>
      </c>
      <c r="K597" t="n">
        <v>0.33973263049738</v>
      </c>
      <c r="L597" t="b">
        <v>0</v>
      </c>
      <c r="M597" t="b">
        <v>0</v>
      </c>
      <c r="N597" t="inlineStr">
        <is>
          <t>ref</t>
        </is>
      </c>
      <c r="O597" t="n">
        <v>95</v>
      </c>
      <c r="P597" t="n">
        <v>0.0339</v>
      </c>
      <c r="Q597" t="n">
        <v>80</v>
      </c>
      <c r="R597" t="n">
        <v>0.11005</v>
      </c>
      <c r="S597">
        <f>IMAGE("https://mitra.stanford.edu/kundaje/oak/projects/neuro-variants/variant_position/credible/roussos_2024/variant_figures/roussos_2024.infant.GLU/rs34793132_count_position.png",4,220,900)</f>
        <v/>
      </c>
      <c r="T597">
        <f>IMAGE("https://mitra.stanford.edu/kundaje/oak/projects/neuro-variants/variant_position/credible/roussos_2024/variant_figures/roussos_2024.infant.GLU/rs34793132_profile_position.png",4,220,900)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0.168821838</v>
      </c>
      <c r="G598" t="n">
        <v>0.0175173440755899</v>
      </c>
      <c r="H598" t="n">
        <v>0.026877595514172</v>
      </c>
      <c r="I598" t="n">
        <v>0.08314713399658021</v>
      </c>
      <c r="J598" t="n">
        <v>0.114542869110871</v>
      </c>
      <c r="K598" t="n">
        <v>0.1830438901719446</v>
      </c>
      <c r="L598" t="b">
        <v>1</v>
      </c>
      <c r="M598" t="b">
        <v>0</v>
      </c>
      <c r="N598" t="inlineStr">
        <is>
          <t>alt</t>
        </is>
      </c>
      <c r="O598" t="n">
        <v>-100</v>
      </c>
      <c r="P598" t="n">
        <v>0.02786</v>
      </c>
      <c r="Q598" t="n">
        <v>100</v>
      </c>
      <c r="R598" t="n">
        <v>0.0365</v>
      </c>
      <c r="S598">
        <f>IMAGE("https://mitra.stanford.edu/kundaje/oak/projects/neuro-variants/variant_position/credible/roussos_2024/variant_figures/roussos_2024.infant.GLU/rs59832858_count_position.png",4,220,900)</f>
        <v/>
      </c>
      <c r="T598">
        <f>IMAGE("https://mitra.stanford.edu/kundaje/oak/projects/neuro-variants/variant_position/credible/roussos_2024/variant_figures/roussos_2024.infant.GLU/rs59832858_profile_position.png",4,220,900)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-0.254305664</v>
      </c>
      <c r="G599" t="n">
        <v>0.005453911318848</v>
      </c>
      <c r="H599" t="n">
        <v>0.0492608572361961</v>
      </c>
      <c r="I599" t="n">
        <v>0.0090105636904322</v>
      </c>
      <c r="J599" t="n">
        <v>0.0688385987345399</v>
      </c>
      <c r="K599" t="n">
        <v>0.2769150805501245</v>
      </c>
      <c r="L599" t="b">
        <v>1</v>
      </c>
      <c r="M599" t="b">
        <v>1</v>
      </c>
      <c r="N599" t="inlineStr">
        <is>
          <t>ref</t>
        </is>
      </c>
      <c r="O599" t="n">
        <v>-30</v>
      </c>
      <c r="P599" t="n">
        <v>0.01137</v>
      </c>
      <c r="Q599" t="n">
        <v>80</v>
      </c>
      <c r="R599" t="n">
        <v>0.05762</v>
      </c>
      <c r="S599">
        <f>IMAGE("https://mitra.stanford.edu/kundaje/oak/projects/neuro-variants/variant_position/credible/roussos_2024/variant_figures/roussos_2024.infant.GLU/rs7927714_count_position.png",4,220,900)</f>
        <v/>
      </c>
      <c r="T599">
        <f>IMAGE("https://mitra.stanford.edu/kundaje/oak/projects/neuro-variants/variant_position/credible/roussos_2024/variant_figures/roussos_2024.infant.GLU/rs7927714_profile_position.png",4,220,900)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0.0968948208</v>
      </c>
      <c r="G600" t="n">
        <v>0.0517182716672942</v>
      </c>
      <c r="H600" t="n">
        <v>0.0266328541925055</v>
      </c>
      <c r="I600" t="n">
        <v>0.0840487255393815</v>
      </c>
      <c r="J600" t="n">
        <v>0.2335809872351683</v>
      </c>
      <c r="K600" t="n">
        <v>0.094262075507825</v>
      </c>
      <c r="L600" t="b">
        <v>0</v>
      </c>
      <c r="M600" t="b">
        <v>0</v>
      </c>
      <c r="N600" t="inlineStr">
        <is>
          <t>alt</t>
        </is>
      </c>
      <c r="O600" t="n">
        <v>75</v>
      </c>
      <c r="P600" t="n">
        <v>0.04822</v>
      </c>
      <c r="Q600" t="n">
        <v>100</v>
      </c>
      <c r="R600" t="n">
        <v>0.0764</v>
      </c>
      <c r="S600">
        <f>IMAGE("https://mitra.stanford.edu/kundaje/oak/projects/neuro-variants/variant_position/credible/roussos_2024/variant_figures/roussos_2024.infant.GLU/rs11226433_count_position.png",4,220,900)</f>
        <v/>
      </c>
      <c r="T600">
        <f>IMAGE("https://mitra.stanford.edu/kundaje/oak/projects/neuro-variants/variant_position/credible/roussos_2024/variant_figures/roussos_2024.infant.GLU/rs11226433_profile_position.png",4,220,900)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0.0656514405999999</v>
      </c>
      <c r="G601" t="n">
        <v>0.1209674816849354</v>
      </c>
      <c r="H601" t="n">
        <v>0.0287433264267412</v>
      </c>
      <c r="I601" t="n">
        <v>0.0710215995116326</v>
      </c>
      <c r="J601" t="n">
        <v>0.4956855309861329</v>
      </c>
      <c r="K601" t="n">
        <v>0.0314374863852659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0.06444999999999999</v>
      </c>
      <c r="Q601" t="n">
        <v>-100</v>
      </c>
      <c r="R601" t="n">
        <v>0.4263</v>
      </c>
      <c r="S601">
        <f>IMAGE("https://mitra.stanford.edu/kundaje/oak/projects/neuro-variants/variant_position/credible/roussos_2024/variant_figures/roussos_2024.infant.GLU/rs10895711_count_position.png",4,220,900)</f>
        <v/>
      </c>
      <c r="T601">
        <f>IMAGE("https://mitra.stanford.edu/kundaje/oak/projects/neuro-variants/variant_position/credible/roussos_2024/variant_figures/roussos_2024.infant.GLU/rs10895711_profile_position.png",4,220,900)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-0.0416707251999999</v>
      </c>
      <c r="G602" t="n">
        <v>0.2219278209399587</v>
      </c>
      <c r="H602" t="n">
        <v>0.0073901302566105</v>
      </c>
      <c r="I602" t="n">
        <v>0.9464701998434706</v>
      </c>
      <c r="J602" t="n">
        <v>0.0540388897462465</v>
      </c>
      <c r="K602" t="n">
        <v>0.324304560669942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0.04504</v>
      </c>
      <c r="Q602" t="n">
        <v>85</v>
      </c>
      <c r="R602" t="n">
        <v>0.1278</v>
      </c>
      <c r="S602">
        <f>IMAGE("https://mitra.stanford.edu/kundaje/oak/projects/neuro-variants/variant_position/credible/roussos_2024/variant_figures/roussos_2024.infant.GLU/rs12418899_count_position.png",4,220,900)</f>
        <v/>
      </c>
      <c r="T602">
        <f>IMAGE("https://mitra.stanford.edu/kundaje/oak/projects/neuro-variants/variant_position/credible/roussos_2024/variant_figures/roussos_2024.infant.GLU/rs12418899_profile_position.png",4,220,900)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0.0285785231999999</v>
      </c>
      <c r="G603" t="n">
        <v>0.3371697693940144</v>
      </c>
      <c r="H603" t="n">
        <v>0.0406809490739261</v>
      </c>
      <c r="I603" t="n">
        <v>0.018792446153507</v>
      </c>
      <c r="J603" t="n">
        <v>0.2823816662624837</v>
      </c>
      <c r="K603" t="n">
        <v>0.07317464672238549</v>
      </c>
      <c r="L603" t="b">
        <v>1</v>
      </c>
      <c r="M603" t="b">
        <v>0</v>
      </c>
      <c r="N603" t="inlineStr">
        <is>
          <t>alt</t>
        </is>
      </c>
      <c r="O603" t="n">
        <v>-100</v>
      </c>
      <c r="P603" t="n">
        <v>0.0951</v>
      </c>
      <c r="Q603" t="n">
        <v>-100</v>
      </c>
      <c r="R603" t="n">
        <v>0.3772</v>
      </c>
      <c r="S603">
        <f>IMAGE("https://mitra.stanford.edu/kundaje/oak/projects/neuro-variants/variant_position/credible/roussos_2024/variant_figures/roussos_2024.infant.GLU/rs16894_count_position.png",4,220,900)</f>
        <v/>
      </c>
      <c r="T603">
        <f>IMAGE("https://mitra.stanford.edu/kundaje/oak/projects/neuro-variants/variant_position/credible/roussos_2024/variant_figures/roussos_2024.infant.GLU/rs16894_profile_position.png",4,220,900)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-0.0266805702</v>
      </c>
      <c r="G604" t="n">
        <v>0.3611029352719197</v>
      </c>
      <c r="H604" t="n">
        <v>0.0072364689692801</v>
      </c>
      <c r="I604" t="n">
        <v>0.9449830334736572</v>
      </c>
      <c r="J604" t="n">
        <v>0.067969972883</v>
      </c>
      <c r="K604" t="n">
        <v>0.2786856768716519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0.1658</v>
      </c>
      <c r="Q604" t="n">
        <v>95</v>
      </c>
      <c r="R604" t="n">
        <v>0.1506</v>
      </c>
      <c r="S604">
        <f>IMAGE("https://mitra.stanford.edu/kundaje/oak/projects/neuro-variants/variant_position/credible/roussos_2024/variant_figures/roussos_2024.infant.GLU/rs10895715_count_position.png",4,220,900)</f>
        <v/>
      </c>
      <c r="T604">
        <f>IMAGE("https://mitra.stanford.edu/kundaje/oak/projects/neuro-variants/variant_position/credible/roussos_2024/variant_figures/roussos_2024.infant.GLU/rs10895715_profile_position.png",4,220,900)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-0.202665138</v>
      </c>
      <c r="G605" t="n">
        <v>0.01005141206477</v>
      </c>
      <c r="H605" t="n">
        <v>0.0338036440053802</v>
      </c>
      <c r="I605" t="n">
        <v>0.0392261722183385</v>
      </c>
      <c r="J605" t="n">
        <v>0.0069864855927158</v>
      </c>
      <c r="K605" t="n">
        <v>0.714865898349799</v>
      </c>
      <c r="L605" t="b">
        <v>1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80</v>
      </c>
      <c r="R605" t="n">
        <v>0.04224</v>
      </c>
      <c r="S605">
        <f>IMAGE("https://mitra.stanford.edu/kundaje/oak/projects/neuro-variants/variant_position/credible/roussos_2024/variant_figures/roussos_2024.infant.GLU/rs1147010_count_position.png",4,220,900)</f>
        <v/>
      </c>
      <c r="T605">
        <f>IMAGE("https://mitra.stanford.edu/kundaje/oak/projects/neuro-variants/variant_position/credible/roussos_2024/variant_figures/roussos_2024.infant.GLU/rs1147010_profile_position.png",4,220,900)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0.0800504216</v>
      </c>
      <c r="G606" t="n">
        <v>0.0773614105488608</v>
      </c>
      <c r="H606" t="n">
        <v>0.0477317620106837</v>
      </c>
      <c r="I606" t="n">
        <v>0.009466208750707999</v>
      </c>
      <c r="J606" t="n">
        <v>0.2043023435260917</v>
      </c>
      <c r="K606" t="n">
        <v>0.1063895111547139</v>
      </c>
      <c r="L606" t="b">
        <v>1</v>
      </c>
      <c r="M606" t="b">
        <v>1</v>
      </c>
      <c r="N606" t="inlineStr">
        <is>
          <t>alt</t>
        </is>
      </c>
      <c r="O606" t="n">
        <v>-75</v>
      </c>
      <c r="P606" t="n">
        <v>0.003021</v>
      </c>
      <c r="Q606" t="n">
        <v>35</v>
      </c>
      <c r="R606" t="n">
        <v>0.2593</v>
      </c>
      <c r="S606">
        <f>IMAGE("https://mitra.stanford.edu/kundaje/oak/projects/neuro-variants/variant_position/credible/roussos_2024/variant_figures/roussos_2024.infant.GLU/rs72972953_count_position.png",4,220,900)</f>
        <v/>
      </c>
      <c r="T606">
        <f>IMAGE("https://mitra.stanford.edu/kundaje/oak/projects/neuro-variants/variant_position/credible/roussos_2024/variant_figures/roussos_2024.infant.GLU/rs72972953_profile_position.png",4,220,900)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-0.01450482632</v>
      </c>
      <c r="G607" t="n">
        <v>0.5393665168751016</v>
      </c>
      <c r="H607" t="n">
        <v>0.038317715596025</v>
      </c>
      <c r="I607" t="n">
        <v>0.0239410682911129</v>
      </c>
      <c r="J607" t="n">
        <v>0.0123382349699067</v>
      </c>
      <c r="K607" t="n">
        <v>0.6233419938194693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0.1819</v>
      </c>
      <c r="Q607" t="n">
        <v>-100</v>
      </c>
      <c r="R607" t="n">
        <v>0.08400000000000001</v>
      </c>
      <c r="S607">
        <f>IMAGE("https://mitra.stanford.edu/kundaje/oak/projects/neuro-variants/variant_position/credible/roussos_2024/variant_figures/roussos_2024.infant.GLU/rs6591097_count_position.png",4,220,900)</f>
        <v/>
      </c>
      <c r="T607">
        <f>IMAGE("https://mitra.stanford.edu/kundaje/oak/projects/neuro-variants/variant_position/credible/roussos_2024/variant_figures/roussos_2024.infant.GLU/rs6591097_profile_position.png",4,220,900)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0.0016093061999999</v>
      </c>
      <c r="G608" t="n">
        <v>0.830638851627161</v>
      </c>
      <c r="H608" t="n">
        <v>0.0098729381138409</v>
      </c>
      <c r="I608" t="n">
        <v>0.7282585135587023</v>
      </c>
      <c r="J608" t="n">
        <v>0.0006261160960338</v>
      </c>
      <c r="K608" t="n">
        <v>0.9248940598288146</v>
      </c>
      <c r="L608" t="b">
        <v>0</v>
      </c>
      <c r="M608" t="b">
        <v>0</v>
      </c>
      <c r="N608" t="inlineStr">
        <is>
          <t>alt</t>
        </is>
      </c>
      <c r="O608" t="n">
        <v>25</v>
      </c>
      <c r="P608" t="n">
        <v>0.00903</v>
      </c>
      <c r="Q608" t="n">
        <v>0</v>
      </c>
      <c r="R608" t="n">
        <v>0</v>
      </c>
      <c r="S608">
        <f>IMAGE("https://mitra.stanford.edu/kundaje/oak/projects/neuro-variants/variant_position/credible/roussos_2024/variant_figures/roussos_2024.infant.GLU/rs1144403_count_position.png",4,220,900)</f>
        <v/>
      </c>
      <c r="T608">
        <f>IMAGE("https://mitra.stanford.edu/kundaje/oak/projects/neuro-variants/variant_position/credible/roussos_2024/variant_figures/roussos_2024.infant.GLU/rs1144403_profile_position.png",4,220,900)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-0.19344285</v>
      </c>
      <c r="G609" t="n">
        <v>0.0111144793016607</v>
      </c>
      <c r="H609" t="n">
        <v>0.0174457173444009</v>
      </c>
      <c r="I609" t="n">
        <v>0.2633294236160721</v>
      </c>
      <c r="J609" t="n">
        <v>0.4174309398355342</v>
      </c>
      <c r="K609" t="n">
        <v>0.0430945416179559</v>
      </c>
      <c r="L609" t="b">
        <v>1</v>
      </c>
      <c r="M609" t="b">
        <v>0</v>
      </c>
      <c r="N609" t="inlineStr">
        <is>
          <t>ref</t>
        </is>
      </c>
      <c r="O609" t="n">
        <v>95</v>
      </c>
      <c r="P609" t="n">
        <v>0.001987</v>
      </c>
      <c r="Q609" t="n">
        <v>50</v>
      </c>
      <c r="R609" t="n">
        <v>0.0371</v>
      </c>
      <c r="S609">
        <f>IMAGE("https://mitra.stanford.edu/kundaje/oak/projects/neuro-variants/variant_position/credible/roussos_2024/variant_figures/roussos_2024.infant.GLU/rs1529338_count_position.png",4,220,900)</f>
        <v/>
      </c>
      <c r="T609">
        <f>IMAGE("https://mitra.stanford.edu/kundaje/oak/projects/neuro-variants/variant_position/credible/roussos_2024/variant_figures/roussos_2024.infant.GLU/rs1529338_profile_position.png",4,220,900)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0.0329265578</v>
      </c>
      <c r="G610" t="n">
        <v>0.2854507787286017</v>
      </c>
      <c r="H610" t="n">
        <v>0.0254708002917264</v>
      </c>
      <c r="I610" t="n">
        <v>0.0951026333702122</v>
      </c>
      <c r="J610" t="n">
        <v>0.0891465861240326</v>
      </c>
      <c r="K610" t="n">
        <v>0.2391152051839625</v>
      </c>
      <c r="L610" t="b">
        <v>0</v>
      </c>
      <c r="M610" t="b">
        <v>0</v>
      </c>
      <c r="N610" t="inlineStr">
        <is>
          <t>alt</t>
        </is>
      </c>
      <c r="O610" t="n">
        <v>-100</v>
      </c>
      <c r="P610" t="n">
        <v>0.1209</v>
      </c>
      <c r="Q610" t="n">
        <v>-100</v>
      </c>
      <c r="R610" t="n">
        <v>0.02802</v>
      </c>
      <c r="S610">
        <f>IMAGE("https://mitra.stanford.edu/kundaje/oak/projects/neuro-variants/variant_position/credible/roussos_2024/variant_figures/roussos_2024.infant.GLU/rs4755059_count_position.png",4,220,900)</f>
        <v/>
      </c>
      <c r="T610">
        <f>IMAGE("https://mitra.stanford.edu/kundaje/oak/projects/neuro-variants/variant_position/credible/roussos_2024/variant_figures/roussos_2024.infant.GLU/rs4755059_profile_position.png",4,220,900)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0.1166886074</v>
      </c>
      <c r="G611" t="n">
        <v>0.0387786636937861</v>
      </c>
      <c r="H611" t="n">
        <v>0.016315393637409</v>
      </c>
      <c r="I611" t="n">
        <v>0.3155067801013265</v>
      </c>
      <c r="J611" t="n">
        <v>0.2904021252673118</v>
      </c>
      <c r="K611" t="n">
        <v>0.0712257694430205</v>
      </c>
      <c r="L611" t="b">
        <v>0</v>
      </c>
      <c r="M611" t="b">
        <v>0</v>
      </c>
      <c r="N611" t="inlineStr">
        <is>
          <t>alt</t>
        </is>
      </c>
      <c r="O611" t="n">
        <v>-95</v>
      </c>
      <c r="P611" t="n">
        <v>0.07825</v>
      </c>
      <c r="Q611" t="n">
        <v>95</v>
      </c>
      <c r="R611" t="n">
        <v>0.02588</v>
      </c>
      <c r="S611">
        <f>IMAGE("https://mitra.stanford.edu/kundaje/oak/projects/neuro-variants/variant_position/credible/roussos_2024/variant_figures/roussos_2024.infant.GLU/rs2555136_count_position.png",4,220,900)</f>
        <v/>
      </c>
      <c r="T611">
        <f>IMAGE("https://mitra.stanford.edu/kundaje/oak/projects/neuro-variants/variant_position/credible/roussos_2024/variant_figures/roussos_2024.infant.GLU/rs2555136_profile_position.png",4,220,900)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0.019122968</v>
      </c>
      <c r="G612" t="n">
        <v>0.4491786330330764</v>
      </c>
      <c r="H612" t="n">
        <v>0.0428812077291498</v>
      </c>
      <c r="I612" t="n">
        <v>0.0152752055023459</v>
      </c>
      <c r="J612" t="n">
        <v>0.003884565356379</v>
      </c>
      <c r="K612" t="n">
        <v>0.7749620175419717</v>
      </c>
      <c r="L612" t="b">
        <v>0</v>
      </c>
      <c r="M612" t="b">
        <v>0</v>
      </c>
      <c r="N612" t="inlineStr">
        <is>
          <t>alt</t>
        </is>
      </c>
      <c r="O612" t="n">
        <v>100</v>
      </c>
      <c r="P612" t="n">
        <v>0.010254</v>
      </c>
      <c r="Q612" t="n">
        <v>60</v>
      </c>
      <c r="R612" t="n">
        <v>0.04773</v>
      </c>
      <c r="S612">
        <f>IMAGE("https://mitra.stanford.edu/kundaje/oak/projects/neuro-variants/variant_position/credible/roussos_2024/variant_figures/roussos_2024.infant.GLU/rs7131576_count_position.png",4,220,900)</f>
        <v/>
      </c>
      <c r="T612">
        <f>IMAGE("https://mitra.stanford.edu/kundaje/oak/projects/neuro-variants/variant_position/credible/roussos_2024/variant_figures/roussos_2024.infant.GLU/rs7131576_profile_position.png",4,220,900)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-0.0187993656</v>
      </c>
      <c r="G613" t="n">
        <v>0.4690657443387742</v>
      </c>
      <c r="H613" t="n">
        <v>0.007755856111008</v>
      </c>
      <c r="I613" t="n">
        <v>0.917826697671324</v>
      </c>
      <c r="J613" t="n">
        <v>0.0448819418417513</v>
      </c>
      <c r="K613" t="n">
        <v>0.3685867377002324</v>
      </c>
      <c r="L613" t="b">
        <v>0</v>
      </c>
      <c r="M613" t="b">
        <v>0</v>
      </c>
      <c r="N613" t="inlineStr">
        <is>
          <t>ref</t>
        </is>
      </c>
      <c r="O613" t="n">
        <v>90</v>
      </c>
      <c r="P613" t="n">
        <v>0.02747</v>
      </c>
      <c r="Q613" t="n">
        <v>-50</v>
      </c>
      <c r="R613" t="n">
        <v>0.04004</v>
      </c>
      <c r="S613">
        <f>IMAGE("https://mitra.stanford.edu/kundaje/oak/projects/neuro-variants/variant_position/credible/roussos_2024/variant_figures/roussos_2024.infant.GLU/rs1030395_count_position.png",4,220,900)</f>
        <v/>
      </c>
      <c r="T613">
        <f>IMAGE("https://mitra.stanford.edu/kundaje/oak/projects/neuro-variants/variant_position/credible/roussos_2024/variant_figures/roussos_2024.infant.GLU/rs1030395_profile_position.png",4,220,900)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0.0240239434</v>
      </c>
      <c r="G614" t="n">
        <v>0.3823505896871443</v>
      </c>
      <c r="H614" t="n">
        <v>0.052635777659762</v>
      </c>
      <c r="I614" t="n">
        <v>0.0059321214523406</v>
      </c>
      <c r="J614" t="n">
        <v>0.08722194051897079</v>
      </c>
      <c r="K614" t="n">
        <v>0.2307657337272241</v>
      </c>
      <c r="L614" t="b">
        <v>1</v>
      </c>
      <c r="M614" t="b">
        <v>1</v>
      </c>
      <c r="N614" t="inlineStr">
        <is>
          <t>alt</t>
        </is>
      </c>
      <c r="O614" t="n">
        <v>-60</v>
      </c>
      <c r="P614" t="n">
        <v>0.09106</v>
      </c>
      <c r="Q614" t="n">
        <v>-75</v>
      </c>
      <c r="R614" t="n">
        <v>0.05566</v>
      </c>
      <c r="S614">
        <f>IMAGE("https://mitra.stanford.edu/kundaje/oak/projects/neuro-variants/variant_position/credible/roussos_2024/variant_figures/roussos_2024.infant.GLU/rs10895736_count_position.png",4,220,900)</f>
        <v/>
      </c>
      <c r="T614">
        <f>IMAGE("https://mitra.stanford.edu/kundaje/oak/projects/neuro-variants/variant_position/credible/roussos_2024/variant_figures/roussos_2024.infant.GLU/rs10895736_profile_position.png",4,220,900)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-0.01475142988</v>
      </c>
      <c r="G615" t="n">
        <v>0.5358461717248479</v>
      </c>
      <c r="H615" t="n">
        <v>0.0336016394832818</v>
      </c>
      <c r="I615" t="n">
        <v>0.0392114133501404</v>
      </c>
      <c r="J615" t="n">
        <v>0.0579168412002027</v>
      </c>
      <c r="K615" t="n">
        <v>0.3079672299347006</v>
      </c>
      <c r="L615" t="b">
        <v>0</v>
      </c>
      <c r="M615" t="b">
        <v>0</v>
      </c>
      <c r="N615" t="inlineStr">
        <is>
          <t>ref</t>
        </is>
      </c>
      <c r="O615" t="n">
        <v>-100</v>
      </c>
      <c r="P615" t="n">
        <v>0.259</v>
      </c>
      <c r="Q615" t="n">
        <v>-100</v>
      </c>
      <c r="R615" t="n">
        <v>0.08875</v>
      </c>
      <c r="S615">
        <f>IMAGE("https://mitra.stanford.edu/kundaje/oak/projects/neuro-variants/variant_position/credible/roussos_2024/variant_figures/roussos_2024.infant.GLU/rs10895737_count_position.png",4,220,900)</f>
        <v/>
      </c>
      <c r="T615">
        <f>IMAGE("https://mitra.stanford.edu/kundaje/oak/projects/neuro-variants/variant_position/credible/roussos_2024/variant_figures/roussos_2024.infant.GLU/rs10895737_profile_position.png",4,220,900)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-0.00852014806</v>
      </c>
      <c r="G616" t="n">
        <v>0.6098856263112441</v>
      </c>
      <c r="H616" t="n">
        <v>0.0049326252021639</v>
      </c>
      <c r="I616" t="n">
        <v>0.998092851011278</v>
      </c>
      <c r="J616" t="n">
        <v>0.0782667166383738</v>
      </c>
      <c r="K616" t="n">
        <v>0.2522054763106129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0.04077</v>
      </c>
      <c r="Q616" t="n">
        <v>50</v>
      </c>
      <c r="R616" t="n">
        <v>0.04895</v>
      </c>
      <c r="S616">
        <f>IMAGE("https://mitra.stanford.edu/kundaje/oak/projects/neuro-variants/variant_position/credible/roussos_2024/variant_figures/roussos_2024.infant.GLU/rs7947634_count_position.png",4,220,900)</f>
        <v/>
      </c>
      <c r="T616">
        <f>IMAGE("https://mitra.stanford.edu/kundaje/oak/projects/neuro-variants/variant_position/credible/roussos_2024/variant_figures/roussos_2024.infant.GLU/rs7947634_profile_position.png",4,220,900)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0.0262893392</v>
      </c>
      <c r="G617" t="n">
        <v>0.3562242417285254</v>
      </c>
      <c r="H617" t="n">
        <v>0.0117871212349458</v>
      </c>
      <c r="I617" t="n">
        <v>0.5697697632825508</v>
      </c>
      <c r="J617" t="n">
        <v>0.5378017592980445</v>
      </c>
      <c r="K617" t="n">
        <v>0.0270152921520284</v>
      </c>
      <c r="L617" t="b">
        <v>0</v>
      </c>
      <c r="M617" t="b">
        <v>0</v>
      </c>
      <c r="N617" t="inlineStr">
        <is>
          <t>alt</t>
        </is>
      </c>
      <c r="O617" t="n">
        <v>-90</v>
      </c>
      <c r="P617" t="n">
        <v>0.00619</v>
      </c>
      <c r="Q617" t="n">
        <v>-95</v>
      </c>
      <c r="R617" t="n">
        <v>0.26</v>
      </c>
      <c r="S617">
        <f>IMAGE("https://mitra.stanford.edu/kundaje/oak/projects/neuro-variants/variant_position/credible/roussos_2024/variant_figures/roussos_2024.infant.GLU/rs12576701_count_position.png",4,220,900)</f>
        <v/>
      </c>
      <c r="T617">
        <f>IMAGE("https://mitra.stanford.edu/kundaje/oak/projects/neuro-variants/variant_position/credible/roussos_2024/variant_figures/roussos_2024.infant.GLU/rs12576701_profile_position.png",4,220,900)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-0.0360532528</v>
      </c>
      <c r="G618" t="n">
        <v>0.2668431742742056</v>
      </c>
      <c r="H618" t="n">
        <v>0.008089595192258599</v>
      </c>
      <c r="I618" t="n">
        <v>0.9025588658637416</v>
      </c>
      <c r="J618" t="n">
        <v>0.407039396812099</v>
      </c>
      <c r="K618" t="n">
        <v>0.0441673017024293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0.1534</v>
      </c>
      <c r="Q618" t="n">
        <v>0</v>
      </c>
      <c r="R618" t="n">
        <v>0</v>
      </c>
      <c r="S618">
        <f>IMAGE("https://mitra.stanford.edu/kundaje/oak/projects/neuro-variants/variant_position/credible/roussos_2024/variant_figures/roussos_2024.infant.GLU/rs6589285_count_position.png",4,220,900)</f>
        <v/>
      </c>
      <c r="T618">
        <f>IMAGE("https://mitra.stanford.edu/kundaje/oak/projects/neuro-variants/variant_position/credible/roussos_2024/variant_figures/roussos_2024.infant.GLU/rs6589285_profile_position.png",4,220,900)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-0.0329514062</v>
      </c>
      <c r="G619" t="n">
        <v>0.2490493893449568</v>
      </c>
      <c r="H619" t="n">
        <v>0.0187320405148139</v>
      </c>
      <c r="I619" t="n">
        <v>0.2166139510610409</v>
      </c>
      <c r="J619" t="n">
        <v>0.008109746687537099</v>
      </c>
      <c r="K619" t="n">
        <v>0.7301934392679557</v>
      </c>
      <c r="L619" t="b">
        <v>0</v>
      </c>
      <c r="M619" t="b">
        <v>0</v>
      </c>
      <c r="N619" t="inlineStr">
        <is>
          <t>ref</t>
        </is>
      </c>
      <c r="O619" t="n">
        <v>25</v>
      </c>
      <c r="P619" t="n">
        <v>0.003174</v>
      </c>
      <c r="Q619" t="n">
        <v>50</v>
      </c>
      <c r="R619" t="n">
        <v>0.014404</v>
      </c>
      <c r="S619">
        <f>IMAGE("https://mitra.stanford.edu/kundaje/oak/projects/neuro-variants/variant_position/credible/roussos_2024/variant_figures/roussos_2024.infant.GLU/rs4936065_count_position.png",4,220,900)</f>
        <v/>
      </c>
      <c r="T619">
        <f>IMAGE("https://mitra.stanford.edu/kundaje/oak/projects/neuro-variants/variant_position/credible/roussos_2024/variant_figures/roussos_2024.infant.GLU/rs4936065_profile_position.png",4,220,900)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0.1334344528</v>
      </c>
      <c r="G620" t="n">
        <v>0.027184083661687</v>
      </c>
      <c r="H620" t="n">
        <v>0.0317119329264385</v>
      </c>
      <c r="I620" t="n">
        <v>0.0484668895536845</v>
      </c>
      <c r="J620" t="n">
        <v>0.1214422716550187</v>
      </c>
      <c r="K620" t="n">
        <v>0.1813982438635133</v>
      </c>
      <c r="L620" t="b">
        <v>0</v>
      </c>
      <c r="M620" t="b">
        <v>0</v>
      </c>
      <c r="N620" t="inlineStr">
        <is>
          <t>alt</t>
        </is>
      </c>
      <c r="O620" t="n">
        <v>-35</v>
      </c>
      <c r="P620" t="n">
        <v>0.01175</v>
      </c>
      <c r="Q620" t="n">
        <v>-40</v>
      </c>
      <c r="R620" t="n">
        <v>0.08935999999999999</v>
      </c>
      <c r="S620">
        <f>IMAGE("https://mitra.stanford.edu/kundaje/oak/projects/neuro-variants/variant_position/credible/roussos_2024/variant_figures/roussos_2024.infant.GLU/rs12419862_count_position.png",4,220,900)</f>
        <v/>
      </c>
      <c r="T620">
        <f>IMAGE("https://mitra.stanford.edu/kundaje/oak/projects/neuro-variants/variant_position/credible/roussos_2024/variant_figures/roussos_2024.infant.GLU/rs12419862_profile_position.png",4,220,900)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-0.01559691974</v>
      </c>
      <c r="G621" t="n">
        <v>0.4916051613893777</v>
      </c>
      <c r="H621" t="n">
        <v>0.0120629527226784</v>
      </c>
      <c r="I621" t="n">
        <v>0.5521378739867383</v>
      </c>
      <c r="J621" t="n">
        <v>0.0791110915143631</v>
      </c>
      <c r="K621" t="n">
        <v>0.2542133432215711</v>
      </c>
      <c r="L621" t="b">
        <v>0</v>
      </c>
      <c r="M621" t="b">
        <v>0</v>
      </c>
      <c r="N621" t="inlineStr">
        <is>
          <t>ref</t>
        </is>
      </c>
      <c r="O621" t="n">
        <v>-65</v>
      </c>
      <c r="P621" t="n">
        <v>0.03555</v>
      </c>
      <c r="Q621" t="n">
        <v>-70</v>
      </c>
      <c r="R621" t="n">
        <v>0.3335</v>
      </c>
      <c r="S621">
        <f>IMAGE("https://mitra.stanford.edu/kundaje/oak/projects/neuro-variants/variant_position/credible/roussos_2024/variant_figures/roussos_2024.infant.GLU/rs11214193_count_position.png",4,220,900)</f>
        <v/>
      </c>
      <c r="T621">
        <f>IMAGE("https://mitra.stanford.edu/kundaje/oak/projects/neuro-variants/variant_position/credible/roussos_2024/variant_figures/roussos_2024.infant.GLU/rs11214193_profile_position.png",4,220,900)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-0.07029306759999999</v>
      </c>
      <c r="G622" t="n">
        <v>0.1140296079680041</v>
      </c>
      <c r="H622" t="n">
        <v>0.0159816165194546</v>
      </c>
      <c r="I622" t="n">
        <v>0.316962135363724</v>
      </c>
      <c r="J622" t="n">
        <v>0.07405696774620241</v>
      </c>
      <c r="K622" t="n">
        <v>0.2748674066092071</v>
      </c>
      <c r="L622" t="b">
        <v>0</v>
      </c>
      <c r="M622" t="b">
        <v>0</v>
      </c>
      <c r="N622" t="inlineStr">
        <is>
          <t>ref</t>
        </is>
      </c>
      <c r="O622" t="n">
        <v>-80</v>
      </c>
      <c r="P622" t="n">
        <v>0.005493</v>
      </c>
      <c r="Q622" t="n">
        <v>-5</v>
      </c>
      <c r="R622" t="n">
        <v>0.01978</v>
      </c>
      <c r="S622">
        <f>IMAGE("https://mitra.stanford.edu/kundaje/oak/projects/neuro-variants/variant_position/credible/roussos_2024/variant_figures/roussos_2024.infant.GLU/rs11214222_count_position.png",4,220,900)</f>
        <v/>
      </c>
      <c r="T622">
        <f>IMAGE("https://mitra.stanford.edu/kundaje/oak/projects/neuro-variants/variant_position/credible/roussos_2024/variant_figures/roussos_2024.infant.GLU/rs11214222_profile_position.png",4,220,900)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-0.008864245220000001</v>
      </c>
      <c r="G623" t="n">
        <v>0.6752849572268947</v>
      </c>
      <c r="H623" t="n">
        <v>0.007345497906979</v>
      </c>
      <c r="I623" t="n">
        <v>0.9484589027584212</v>
      </c>
      <c r="J623" t="n">
        <v>0.0082673780286161</v>
      </c>
      <c r="K623" t="n">
        <v>0.6858290727316306</v>
      </c>
      <c r="L623" t="b">
        <v>0</v>
      </c>
      <c r="M623" t="b">
        <v>0</v>
      </c>
      <c r="N623" t="inlineStr">
        <is>
          <t>ref</t>
        </is>
      </c>
      <c r="O623" t="n">
        <v>100</v>
      </c>
      <c r="P623" t="n">
        <v>0.07006999999999999</v>
      </c>
      <c r="Q623" t="n">
        <v>15</v>
      </c>
      <c r="R623" t="n">
        <v>0.03644</v>
      </c>
      <c r="S623">
        <f>IMAGE("https://mitra.stanford.edu/kundaje/oak/projects/neuro-variants/variant_position/credible/roussos_2024/variant_figures/roussos_2024.infant.GLU/rs12279124_count_position.png",4,220,900)</f>
        <v/>
      </c>
      <c r="T623">
        <f>IMAGE("https://mitra.stanford.edu/kundaje/oak/projects/neuro-variants/variant_position/credible/roussos_2024/variant_figures/roussos_2024.infant.GLU/rs12279124_profile_position.png",4,220,900)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-0.0583769399999999</v>
      </c>
      <c r="G624" t="n">
        <v>0.1344846423115301</v>
      </c>
      <c r="H624" t="n">
        <v>0.0246507754882285</v>
      </c>
      <c r="I624" t="n">
        <v>0.1052859456627235</v>
      </c>
      <c r="J624" t="n">
        <v>0.1160089508146122</v>
      </c>
      <c r="K624" t="n">
        <v>0.1841001413876183</v>
      </c>
      <c r="L624" t="b">
        <v>0</v>
      </c>
      <c r="M624" t="b">
        <v>0</v>
      </c>
      <c r="N624" t="inlineStr">
        <is>
          <t>ref</t>
        </is>
      </c>
      <c r="O624" t="n">
        <v>-35</v>
      </c>
      <c r="P624" t="n">
        <v>0.006317</v>
      </c>
      <c r="Q624" t="n">
        <v>-90</v>
      </c>
      <c r="R624" t="n">
        <v>0.5244</v>
      </c>
      <c r="S624">
        <f>IMAGE("https://mitra.stanford.edu/kundaje/oak/projects/neuro-variants/variant_position/credible/roussos_2024/variant_figures/roussos_2024.infant.GLU/rs7946458_count_position.png",4,220,900)</f>
        <v/>
      </c>
      <c r="T624">
        <f>IMAGE("https://mitra.stanford.edu/kundaje/oak/projects/neuro-variants/variant_position/credible/roussos_2024/variant_figures/roussos_2024.infant.GLU/rs7946458_profile_position.png",4,220,900)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0.03385311494</v>
      </c>
      <c r="G625" t="n">
        <v>0.2938385792538577</v>
      </c>
      <c r="H625" t="n">
        <v>0.0327225340314527</v>
      </c>
      <c r="I625" t="n">
        <v>0.0471330699442803</v>
      </c>
      <c r="J625" t="n">
        <v>0.0005136797548446</v>
      </c>
      <c r="K625" t="n">
        <v>0.927143837281788</v>
      </c>
      <c r="L625" t="b">
        <v>0</v>
      </c>
      <c r="M625" t="b">
        <v>0</v>
      </c>
      <c r="N625" t="inlineStr">
        <is>
          <t>alt</t>
        </is>
      </c>
      <c r="O625" t="n">
        <v>-30</v>
      </c>
      <c r="P625" t="n">
        <v>0.0227</v>
      </c>
      <c r="Q625" t="n">
        <v>-100</v>
      </c>
      <c r="R625" t="n">
        <v>0.0606</v>
      </c>
      <c r="S625">
        <f>IMAGE("https://mitra.stanford.edu/kundaje/oak/projects/neuro-variants/variant_position/credible/roussos_2024/variant_figures/roussos_2024.infant.GLU/rs7118324_count_position.png",4,220,900)</f>
        <v/>
      </c>
      <c r="T625">
        <f>IMAGE("https://mitra.stanford.edu/kundaje/oak/projects/neuro-variants/variant_position/credible/roussos_2024/variant_figures/roussos_2024.infant.GLU/rs7118324_profile_position.png",4,220,900)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0.02684374</v>
      </c>
      <c r="G626" t="n">
        <v>0.3463344444335026</v>
      </c>
      <c r="H626" t="n">
        <v>0.032056828297611</v>
      </c>
      <c r="I626" t="n">
        <v>0.0462040571094708</v>
      </c>
      <c r="J626" t="n">
        <v>0.0813388743138076</v>
      </c>
      <c r="K626" t="n">
        <v>0.2425980238773397</v>
      </c>
      <c r="L626" t="b">
        <v>0</v>
      </c>
      <c r="M626" t="b">
        <v>0</v>
      </c>
      <c r="N626" t="inlineStr">
        <is>
          <t>alt</t>
        </is>
      </c>
      <c r="O626" t="n">
        <v>35</v>
      </c>
      <c r="P626" t="n">
        <v>0.008240000000000001</v>
      </c>
      <c r="Q626" t="n">
        <v>10</v>
      </c>
      <c r="R626" t="n">
        <v>0.01822</v>
      </c>
      <c r="S626">
        <f>IMAGE("https://mitra.stanford.edu/kundaje/oak/projects/neuro-variants/variant_position/credible/roussos_2024/variant_figures/roussos_2024.infant.GLU/rs12286447_count_position.png",4,220,900)</f>
        <v/>
      </c>
      <c r="T626">
        <f>IMAGE("https://mitra.stanford.edu/kundaje/oak/projects/neuro-variants/variant_position/credible/roussos_2024/variant_figures/roussos_2024.infant.GLU/rs12286447_profile_position.png",4,220,900)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-0.230164822</v>
      </c>
      <c r="G627" t="n">
        <v>0.0069654220817932</v>
      </c>
      <c r="H627" t="n">
        <v>0.0577473493973085</v>
      </c>
      <c r="I627" t="n">
        <v>0.0040172798086236</v>
      </c>
      <c r="J627" t="n">
        <v>0.163365594479596</v>
      </c>
      <c r="K627" t="n">
        <v>0.1336669463253229</v>
      </c>
      <c r="L627" t="b">
        <v>1</v>
      </c>
      <c r="M627" t="b">
        <v>1</v>
      </c>
      <c r="N627" t="inlineStr">
        <is>
          <t>ref</t>
        </is>
      </c>
      <c r="O627" t="n">
        <v>65</v>
      </c>
      <c r="P627" t="n">
        <v>0.01563</v>
      </c>
      <c r="Q627" t="n">
        <v>60</v>
      </c>
      <c r="R627" t="n">
        <v>0.03857</v>
      </c>
      <c r="S627">
        <f>IMAGE("https://mitra.stanford.edu/kundaje/oak/projects/neuro-variants/variant_position/credible/roussos_2024/variant_figures/roussos_2024.infant.GLU/rs3781884_count_position.png",4,220,900)</f>
        <v/>
      </c>
      <c r="T627">
        <f>IMAGE("https://mitra.stanford.edu/kundaje/oak/projects/neuro-variants/variant_position/credible/roussos_2024/variant_figures/roussos_2024.infant.GLU/rs3781884_profile_position.png",4,220,900)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-0.01725705146</v>
      </c>
      <c r="G628" t="n">
        <v>0.448756048772817</v>
      </c>
      <c r="H628" t="n">
        <v>0.0105154109981421</v>
      </c>
      <c r="I628" t="n">
        <v>0.6823197638504997</v>
      </c>
      <c r="J628" t="n">
        <v>0.0503130580480168</v>
      </c>
      <c r="K628" t="n">
        <v>0.36526885766373</v>
      </c>
      <c r="L628" t="b">
        <v>0</v>
      </c>
      <c r="M628" t="b">
        <v>0</v>
      </c>
      <c r="N628" t="inlineStr">
        <is>
          <t>ref</t>
        </is>
      </c>
      <c r="O628" t="n">
        <v>-95</v>
      </c>
      <c r="P628" t="n">
        <v>0.004883</v>
      </c>
      <c r="Q628" t="n">
        <v>100</v>
      </c>
      <c r="R628" t="n">
        <v>0.2115</v>
      </c>
      <c r="S628">
        <f>IMAGE("https://mitra.stanford.edu/kundaje/oak/projects/neuro-variants/variant_position/credible/roussos_2024/variant_figures/roussos_2024.infant.GLU/rs12421616_count_position.png",4,220,900)</f>
        <v/>
      </c>
      <c r="T628">
        <f>IMAGE("https://mitra.stanford.edu/kundaje/oak/projects/neuro-variants/variant_position/credible/roussos_2024/variant_figures/roussos_2024.infant.GLU/rs12421616_profile_position.png",4,220,900)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0.2151246752</v>
      </c>
      <c r="G629" t="n">
        <v>0.0100211416310144</v>
      </c>
      <c r="H629" t="n">
        <v>0.0275205151614569</v>
      </c>
      <c r="I629" t="n">
        <v>0.08091230530118459</v>
      </c>
      <c r="J629" t="n">
        <v>0.0185409731255097</v>
      </c>
      <c r="K629" t="n">
        <v>0.5646855944336805</v>
      </c>
      <c r="L629" t="b">
        <v>1</v>
      </c>
      <c r="M629" t="b">
        <v>0</v>
      </c>
      <c r="N629" t="inlineStr">
        <is>
          <t>alt</t>
        </is>
      </c>
      <c r="O629" t="n">
        <v>-70</v>
      </c>
      <c r="P629" t="n">
        <v>0.00438</v>
      </c>
      <c r="Q629" t="n">
        <v>-80</v>
      </c>
      <c r="R629" t="n">
        <v>0.0709</v>
      </c>
      <c r="S629">
        <f>IMAGE("https://mitra.stanford.edu/kundaje/oak/projects/neuro-variants/variant_position/credible/roussos_2024/variant_figures/roussos_2024.infant.GLU/rs7121986_count_position.png",4,220,900)</f>
        <v/>
      </c>
      <c r="T629">
        <f>IMAGE("https://mitra.stanford.edu/kundaje/oak/projects/neuro-variants/variant_position/credible/roussos_2024/variant_figures/roussos_2024.infant.GLU/rs7121986_profile_position.png",4,220,900)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0.07679198499999999</v>
      </c>
      <c r="G630" t="n">
        <v>0.0878756333272394</v>
      </c>
      <c r="H630" t="n">
        <v>0.0730702609892131</v>
      </c>
      <c r="I630" t="n">
        <v>0.0010814073623644</v>
      </c>
      <c r="J630" t="n">
        <v>0.07772768359090799</v>
      </c>
      <c r="K630" t="n">
        <v>0.2534316102368525</v>
      </c>
      <c r="L630" t="b">
        <v>1</v>
      </c>
      <c r="M630" t="b">
        <v>1</v>
      </c>
      <c r="N630" t="inlineStr">
        <is>
          <t>alt</t>
        </is>
      </c>
      <c r="O630" t="n">
        <v>85</v>
      </c>
      <c r="P630" t="n">
        <v>0.2134</v>
      </c>
      <c r="Q630" t="n">
        <v>-100</v>
      </c>
      <c r="R630" t="n">
        <v>0.1469</v>
      </c>
      <c r="S630">
        <f>IMAGE("https://mitra.stanford.edu/kundaje/oak/projects/neuro-variants/variant_position/credible/roussos_2024/variant_figures/roussos_2024.infant.GLU/rs4245150_count_position.png",4,220,900)</f>
        <v/>
      </c>
      <c r="T630">
        <f>IMAGE("https://mitra.stanford.edu/kundaje/oak/projects/neuro-variants/variant_position/credible/roussos_2024/variant_figures/roussos_2024.infant.GLU/rs4245150_profile_position.png",4,220,900)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-0.04108271532</v>
      </c>
      <c r="G631" t="n">
        <v>0.2248651954042154</v>
      </c>
      <c r="H631" t="n">
        <v>0.0240056028866086</v>
      </c>
      <c r="I631" t="n">
        <v>0.1167030075112433</v>
      </c>
      <c r="J631" t="n">
        <v>0.0626369628960073</v>
      </c>
      <c r="K631" t="n">
        <v>0.2937691223223127</v>
      </c>
      <c r="L631" t="b">
        <v>0</v>
      </c>
      <c r="M631" t="b">
        <v>0</v>
      </c>
      <c r="N631" t="inlineStr">
        <is>
          <t>ref</t>
        </is>
      </c>
      <c r="O631" t="n">
        <v>70</v>
      </c>
      <c r="P631" t="n">
        <v>0.2788</v>
      </c>
      <c r="Q631" t="n">
        <v>65</v>
      </c>
      <c r="R631" t="n">
        <v>0.1433</v>
      </c>
      <c r="S631">
        <f>IMAGE("https://mitra.stanford.edu/kundaje/oak/projects/neuro-variants/variant_position/credible/roussos_2024/variant_figures/roussos_2024.infant.GLU/rs17602038_count_position.png",4,220,900)</f>
        <v/>
      </c>
      <c r="T631">
        <f>IMAGE("https://mitra.stanford.edu/kundaje/oak/projects/neuro-variants/variant_position/credible/roussos_2024/variant_figures/roussos_2024.infant.GLU/rs17602038_profile_position.png",4,220,900)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0.2216437919999999</v>
      </c>
      <c r="G632" t="n">
        <v>0.0078677478693811</v>
      </c>
      <c r="H632" t="n">
        <v>0.0290717032089841</v>
      </c>
      <c r="I632" t="n">
        <v>0.0643161972782936</v>
      </c>
      <c r="J632" t="n">
        <v>0.0255318679865075</v>
      </c>
      <c r="K632" t="n">
        <v>0.4980103582631016</v>
      </c>
      <c r="L632" t="b">
        <v>1</v>
      </c>
      <c r="M632" t="b">
        <v>1</v>
      </c>
      <c r="N632" t="inlineStr">
        <is>
          <t>alt</t>
        </is>
      </c>
      <c r="O632" t="n">
        <v>45</v>
      </c>
      <c r="P632" t="n">
        <v>0.01233</v>
      </c>
      <c r="Q632" t="n">
        <v>45</v>
      </c>
      <c r="R632" t="n">
        <v>0.01758</v>
      </c>
      <c r="S632">
        <f>IMAGE("https://mitra.stanford.edu/kundaje/oak/projects/neuro-variants/variant_position/credible/roussos_2024/variant_figures/roussos_2024.infant.GLU/rs2514222_count_position.png",4,220,900)</f>
        <v/>
      </c>
      <c r="T632">
        <f>IMAGE("https://mitra.stanford.edu/kundaje/oak/projects/neuro-variants/variant_position/credible/roussos_2024/variant_figures/roussos_2024.infant.GLU/rs2514222_profile_position.png",4,220,900)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-0.427372278</v>
      </c>
      <c r="G633" t="n">
        <v>0.0008398551835674</v>
      </c>
      <c r="H633" t="n">
        <v>0.0531875583767815</v>
      </c>
      <c r="I633" t="n">
        <v>0.0056823777389607</v>
      </c>
      <c r="J633" t="n">
        <v>0.2761976674970788</v>
      </c>
      <c r="K633" t="n">
        <v>0.0760507679436782</v>
      </c>
      <c r="L633" t="b">
        <v>1</v>
      </c>
      <c r="M633" t="b">
        <v>1</v>
      </c>
      <c r="N633" t="inlineStr">
        <is>
          <t>ref</t>
        </is>
      </c>
      <c r="O633" t="n">
        <v>50</v>
      </c>
      <c r="P633" t="n">
        <v>0.002121</v>
      </c>
      <c r="Q633" t="n">
        <v>40</v>
      </c>
      <c r="R633" t="n">
        <v>0.04346</v>
      </c>
      <c r="S633">
        <f>IMAGE("https://mitra.stanford.edu/kundaje/oak/projects/neuro-variants/variant_position/credible/roussos_2024/variant_figures/roussos_2024.infant.GLU/rs115990434_count_position.png",4,220,900)</f>
        <v/>
      </c>
      <c r="T633">
        <f>IMAGE("https://mitra.stanford.edu/kundaje/oak/projects/neuro-variants/variant_position/credible/roussos_2024/variant_figures/roussos_2024.infant.GLU/rs115990434_profile_position.png",4,220,900)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0.0642947868</v>
      </c>
      <c r="G634" t="n">
        <v>0.1084382793191249</v>
      </c>
      <c r="H634" t="n">
        <v>0.018943519898226</v>
      </c>
      <c r="I634" t="n">
        <v>0.2232377900495278</v>
      </c>
      <c r="J634" t="n">
        <v>0.0200853193412552</v>
      </c>
      <c r="K634" t="n">
        <v>0.5437690188750877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0.02206</v>
      </c>
      <c r="Q634" t="n">
        <v>-100</v>
      </c>
      <c r="R634" t="n">
        <v>0.1127</v>
      </c>
      <c r="S634">
        <f>IMAGE("https://mitra.stanford.edu/kundaje/oak/projects/neuro-variants/variant_position/credible/roussos_2024/variant_figures/roussos_2024.infant.GLU/rs59472562_count_position.png",4,220,900)</f>
        <v/>
      </c>
      <c r="T634">
        <f>IMAGE("https://mitra.stanford.edu/kundaje/oak/projects/neuro-variants/variant_position/credible/roussos_2024/variant_figures/roussos_2024.infant.GLU/rs59472562_profile_position.png",4,220,900)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0.0239081516</v>
      </c>
      <c r="G635" t="n">
        <v>0.236288969026914</v>
      </c>
      <c r="H635" t="n">
        <v>0.0174936879977198</v>
      </c>
      <c r="I635" t="n">
        <v>0.2557007830810229</v>
      </c>
      <c r="J635" t="n">
        <v>0.0165656209352057</v>
      </c>
      <c r="K635" t="n">
        <v>0.5836749344113989</v>
      </c>
      <c r="L635" t="b">
        <v>0</v>
      </c>
      <c r="M635" t="b">
        <v>0</v>
      </c>
      <c r="N635" t="inlineStr">
        <is>
          <t>alt</t>
        </is>
      </c>
      <c r="O635" t="n">
        <v>-80</v>
      </c>
      <c r="P635" t="n">
        <v>0.004494</v>
      </c>
      <c r="Q635" t="n">
        <v>100</v>
      </c>
      <c r="R635" t="n">
        <v>0.1077</v>
      </c>
      <c r="S635">
        <f>IMAGE("https://mitra.stanford.edu/kundaje/oak/projects/neuro-variants/variant_position/credible/roussos_2024/variant_figures/roussos_2024.infant.GLU/rs11607834_count_position.png",4,220,900)</f>
        <v/>
      </c>
      <c r="T635">
        <f>IMAGE("https://mitra.stanford.edu/kundaje/oak/projects/neuro-variants/variant_position/credible/roussos_2024/variant_figures/roussos_2024.infant.GLU/rs11607834_profile_position.png",4,220,900)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0.271135634</v>
      </c>
      <c r="G636" t="n">
        <v>0.0045002840523702</v>
      </c>
      <c r="H636" t="n">
        <v>0.0458700149707539</v>
      </c>
      <c r="I636" t="n">
        <v>0.011723944501195</v>
      </c>
      <c r="J636" t="n">
        <v>0.0388941555148922</v>
      </c>
      <c r="K636" t="n">
        <v>0.398913638745705</v>
      </c>
      <c r="L636" t="b">
        <v>1</v>
      </c>
      <c r="M636" t="b">
        <v>1</v>
      </c>
      <c r="N636" t="inlineStr">
        <is>
          <t>alt</t>
        </is>
      </c>
      <c r="O636" t="n">
        <v>-100</v>
      </c>
      <c r="P636" t="n">
        <v>0.004837</v>
      </c>
      <c r="Q636" t="n">
        <v>100</v>
      </c>
      <c r="R636" t="n">
        <v>0.0664</v>
      </c>
      <c r="S636">
        <f>IMAGE("https://mitra.stanford.edu/kundaje/oak/projects/neuro-variants/variant_position/credible/roussos_2024/variant_figures/roussos_2024.infant.GLU/rs11607852_count_position.png",4,220,900)</f>
        <v/>
      </c>
      <c r="T636">
        <f>IMAGE("https://mitra.stanford.edu/kundaje/oak/projects/neuro-variants/variant_position/credible/roussos_2024/variant_figures/roussos_2024.infant.GLU/rs11607852_profile_position.png",4,220,900)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0.00149642402</v>
      </c>
      <c r="G637" t="n">
        <v>0.7683002915966061</v>
      </c>
      <c r="H637" t="n">
        <v>0.0186483376617588</v>
      </c>
      <c r="I637" t="n">
        <v>0.2179278170417625</v>
      </c>
      <c r="J637" t="n">
        <v>0.0066238232765272</v>
      </c>
      <c r="K637" t="n">
        <v>0.7248624554977102</v>
      </c>
      <c r="L637" t="b">
        <v>0</v>
      </c>
      <c r="M637" t="b">
        <v>0</v>
      </c>
      <c r="N637" t="inlineStr">
        <is>
          <t>alt</t>
        </is>
      </c>
      <c r="O637" t="n">
        <v>15</v>
      </c>
      <c r="P637" t="n">
        <v>0.001762</v>
      </c>
      <c r="Q637" t="n">
        <v>0</v>
      </c>
      <c r="R637" t="n">
        <v>0</v>
      </c>
      <c r="S637">
        <f>IMAGE("https://mitra.stanford.edu/kundaje/oak/projects/neuro-variants/variant_position/credible/roussos_2024/variant_figures/roussos_2024.infant.GLU/rs11605737_count_position.png",4,220,900)</f>
        <v/>
      </c>
      <c r="T637">
        <f>IMAGE("https://mitra.stanford.edu/kundaje/oak/projects/neuro-variants/variant_position/credible/roussos_2024/variant_figures/roussos_2024.infant.GLU/rs11605737_profile_position.png",4,220,900)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-0.00562743246</v>
      </c>
      <c r="G638" t="n">
        <v>0.657841359721536</v>
      </c>
      <c r="H638" t="n">
        <v>0.0109638451581256</v>
      </c>
      <c r="I638" t="n">
        <v>0.6462754808144112</v>
      </c>
      <c r="J638" t="n">
        <v>0.0030754646266451</v>
      </c>
      <c r="K638" t="n">
        <v>0.8266114645771959</v>
      </c>
      <c r="L638" t="b">
        <v>0</v>
      </c>
      <c r="M638" t="b">
        <v>0</v>
      </c>
      <c r="N638" t="inlineStr">
        <is>
          <t>ref</t>
        </is>
      </c>
      <c r="O638" t="n">
        <v>-100</v>
      </c>
      <c r="P638" t="n">
        <v>0.03098</v>
      </c>
      <c r="Q638" t="n">
        <v>100</v>
      </c>
      <c r="R638" t="n">
        <v>0.00711</v>
      </c>
      <c r="S638">
        <f>IMAGE("https://mitra.stanford.edu/kundaje/oak/projects/neuro-variants/variant_position/credible/roussos_2024/variant_figures/roussos_2024.infant.GLU/rs11606258_count_position.png",4,220,900)</f>
        <v/>
      </c>
      <c r="T638">
        <f>IMAGE("https://mitra.stanford.edu/kundaje/oak/projects/neuro-variants/variant_position/credible/roussos_2024/variant_figures/roussos_2024.infant.GLU/rs11606258_profile_position.png",4,220,900)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-0.0390407042</v>
      </c>
      <c r="G639" t="n">
        <v>0.241808802754946</v>
      </c>
      <c r="H639" t="n">
        <v>0.0343011470798401</v>
      </c>
      <c r="I639" t="n">
        <v>0.0363345355143506</v>
      </c>
      <c r="J639" t="n">
        <v>0.0606704292422671</v>
      </c>
      <c r="K639" t="n">
        <v>0.3072318908315917</v>
      </c>
      <c r="L639" t="b">
        <v>0</v>
      </c>
      <c r="M639" t="b">
        <v>0</v>
      </c>
      <c r="N639" t="inlineStr">
        <is>
          <t>ref</t>
        </is>
      </c>
      <c r="O639" t="n">
        <v>-45</v>
      </c>
      <c r="P639" t="n">
        <v>0.04596</v>
      </c>
      <c r="Q639" t="n">
        <v>-45</v>
      </c>
      <c r="R639" t="n">
        <v>0.1282</v>
      </c>
      <c r="S639">
        <f>IMAGE("https://mitra.stanford.edu/kundaje/oak/projects/neuro-variants/variant_position/credible/roussos_2024/variant_figures/roussos_2024.infant.GLU/rs17532254_count_position.png",4,220,900)</f>
        <v/>
      </c>
      <c r="T639">
        <f>IMAGE("https://mitra.stanford.edu/kundaje/oak/projects/neuro-variants/variant_position/credible/roussos_2024/variant_figures/roussos_2024.infant.GLU/rs17532254_profile_position.png",4,220,900)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0.047142114</v>
      </c>
      <c r="G640" t="n">
        <v>0.1815619043637291</v>
      </c>
      <c r="H640" t="n">
        <v>0.0208717616855116</v>
      </c>
      <c r="I640" t="n">
        <v>0.167143295348568</v>
      </c>
      <c r="J640" t="n">
        <v>0.1108567208271786</v>
      </c>
      <c r="K640" t="n">
        <v>0.211886811340693</v>
      </c>
      <c r="L640" t="b">
        <v>0</v>
      </c>
      <c r="M640" t="b">
        <v>0</v>
      </c>
      <c r="N640" t="inlineStr">
        <is>
          <t>alt</t>
        </is>
      </c>
      <c r="O640" t="n">
        <v>100</v>
      </c>
      <c r="P640" t="n">
        <v>0.01068</v>
      </c>
      <c r="Q640" t="n">
        <v>15</v>
      </c>
      <c r="R640" t="n">
        <v>0.01575</v>
      </c>
      <c r="S640">
        <f>IMAGE("https://mitra.stanford.edu/kundaje/oak/projects/neuro-variants/variant_position/credible/roussos_2024/variant_figures/roussos_2024.infant.GLU/rs11602504_count_position.png",4,220,900)</f>
        <v/>
      </c>
      <c r="T640">
        <f>IMAGE("https://mitra.stanford.edu/kundaje/oak/projects/neuro-variants/variant_position/credible/roussos_2024/variant_figures/roussos_2024.infant.GLU/rs11602504_profile_position.png",4,220,900)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0.1593467478</v>
      </c>
      <c r="G641" t="n">
        <v>0.0193295427624843</v>
      </c>
      <c r="H641" t="n">
        <v>0.0270993801425496</v>
      </c>
      <c r="I641" t="n">
        <v>0.081278386466035</v>
      </c>
      <c r="J641" t="n">
        <v>0.0624539782623073</v>
      </c>
      <c r="K641" t="n">
        <v>0.3099526209053496</v>
      </c>
      <c r="L641" t="b">
        <v>1</v>
      </c>
      <c r="M641" t="b">
        <v>0</v>
      </c>
      <c r="N641" t="inlineStr">
        <is>
          <t>alt</t>
        </is>
      </c>
      <c r="O641" t="n">
        <v>95</v>
      </c>
      <c r="P641" t="n">
        <v>0.00688</v>
      </c>
      <c r="Q641" t="n">
        <v>95</v>
      </c>
      <c r="R641" t="n">
        <v>0.1252</v>
      </c>
      <c r="S641">
        <f>IMAGE("https://mitra.stanford.edu/kundaje/oak/projects/neuro-variants/variant_position/credible/roussos_2024/variant_figures/roussos_2024.infant.GLU/rs61904990_count_position.png",4,220,900)</f>
        <v/>
      </c>
      <c r="T641">
        <f>IMAGE("https://mitra.stanford.edu/kundaje/oak/projects/neuro-variants/variant_position/credible/roussos_2024/variant_figures/roussos_2024.infant.GLU/rs61904990_profile_position.png",4,220,900)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0.0481742158</v>
      </c>
      <c r="G642" t="n">
        <v>0.1744652943590562</v>
      </c>
      <c r="H642" t="n">
        <v>0.0111905827257057</v>
      </c>
      <c r="I642" t="n">
        <v>0.6311145319947148</v>
      </c>
      <c r="J642" t="n">
        <v>0.0236601336008288</v>
      </c>
      <c r="K642" t="n">
        <v>0.5117078874139752</v>
      </c>
      <c r="L642" t="b">
        <v>0</v>
      </c>
      <c r="M642" t="b">
        <v>0</v>
      </c>
      <c r="N642" t="inlineStr">
        <is>
          <t>alt</t>
        </is>
      </c>
      <c r="O642" t="n">
        <v>15</v>
      </c>
      <c r="P642" t="n">
        <v>0.002094</v>
      </c>
      <c r="Q642" t="n">
        <v>70</v>
      </c>
      <c r="R642" t="n">
        <v>0.08359999999999999</v>
      </c>
      <c r="S642">
        <f>IMAGE("https://mitra.stanford.edu/kundaje/oak/projects/neuro-variants/variant_position/credible/roussos_2024/variant_figures/roussos_2024.infant.GLU/rs17610915_count_position.png",4,220,900)</f>
        <v/>
      </c>
      <c r="T642">
        <f>IMAGE("https://mitra.stanford.edu/kundaje/oak/projects/neuro-variants/variant_position/credible/roussos_2024/variant_figures/roussos_2024.infant.GLU/rs17610915_profile_position.png",4,220,900)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0.078712556</v>
      </c>
      <c r="G643" t="n">
        <v>0.0843174431493295</v>
      </c>
      <c r="H643" t="n">
        <v>0.018321800225135</v>
      </c>
      <c r="I643" t="n">
        <v>0.2324170823854883</v>
      </c>
      <c r="J643" t="n">
        <v>0.0946284089155404</v>
      </c>
      <c r="K643" t="n">
        <v>0.2289299382234671</v>
      </c>
      <c r="L643" t="b">
        <v>0</v>
      </c>
      <c r="M643" t="b">
        <v>0</v>
      </c>
      <c r="N643" t="inlineStr">
        <is>
          <t>alt</t>
        </is>
      </c>
      <c r="O643" t="n">
        <v>50</v>
      </c>
      <c r="P643" t="n">
        <v>0.002823</v>
      </c>
      <c r="Q643" t="n">
        <v>55</v>
      </c>
      <c r="R643" t="n">
        <v>0.1793</v>
      </c>
      <c r="S643">
        <f>IMAGE("https://mitra.stanford.edu/kundaje/oak/projects/neuro-variants/variant_position/credible/roussos_2024/variant_figures/roussos_2024.infant.GLU/rs61904994_count_position.png",4,220,900)</f>
        <v/>
      </c>
      <c r="T643">
        <f>IMAGE("https://mitra.stanford.edu/kundaje/oak/projects/neuro-variants/variant_position/credible/roussos_2024/variant_figures/roussos_2024.infant.GLU/rs61904994_profile_position.png",4,220,900)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0.0004613387979999</v>
      </c>
      <c r="G644" t="n">
        <v>0.7942807546463551</v>
      </c>
      <c r="H644" t="n">
        <v>0.008312234478681299</v>
      </c>
      <c r="I644" t="n">
        <v>0.8904185436902295</v>
      </c>
      <c r="J644" t="n">
        <v>0.0068189333980025</v>
      </c>
      <c r="K644" t="n">
        <v>0.7466010900769022</v>
      </c>
      <c r="L644" t="b">
        <v>0</v>
      </c>
      <c r="M644" t="b">
        <v>0</v>
      </c>
      <c r="N644" t="inlineStr">
        <is>
          <t>alt</t>
        </is>
      </c>
      <c r="O644" t="n">
        <v>-100</v>
      </c>
      <c r="P644" t="n">
        <v>0.0173</v>
      </c>
      <c r="Q644" t="n">
        <v>-100</v>
      </c>
      <c r="R644" t="n">
        <v>0.04675</v>
      </c>
      <c r="S644">
        <f>IMAGE("https://mitra.stanford.edu/kundaje/oak/projects/neuro-variants/variant_position/credible/roussos_2024/variant_figures/roussos_2024.infant.GLU/rs11600745_count_position.png",4,220,900)</f>
        <v/>
      </c>
      <c r="T644">
        <f>IMAGE("https://mitra.stanford.edu/kundaje/oak/projects/neuro-variants/variant_position/credible/roussos_2024/variant_figures/roussos_2024.infant.GLU/rs11600745_profile_position.png",4,220,900)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-0.0376545018</v>
      </c>
      <c r="G645" t="n">
        <v>0.2532887868464055</v>
      </c>
      <c r="H645" t="n">
        <v>0.009305055943365</v>
      </c>
      <c r="I645" t="n">
        <v>0.7930134396594115</v>
      </c>
      <c r="J645" t="n">
        <v>0.0162106748385104</v>
      </c>
      <c r="K645" t="n">
        <v>0.5754442890607108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0.0249</v>
      </c>
      <c r="Q645" t="n">
        <v>10</v>
      </c>
      <c r="R645" t="n">
        <v>0.003326</v>
      </c>
      <c r="S645">
        <f>IMAGE("https://mitra.stanford.edu/kundaje/oak/projects/neuro-variants/variant_position/credible/roussos_2024/variant_figures/roussos_2024.infant.GLU/rs73004093_count_position.png",4,220,900)</f>
        <v/>
      </c>
      <c r="T645">
        <f>IMAGE("https://mitra.stanford.edu/kundaje/oak/projects/neuro-variants/variant_position/credible/roussos_2024/variant_figures/roussos_2024.infant.GLU/rs73004093_profile_position.png",4,220,900)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0.068467551</v>
      </c>
      <c r="G646" t="n">
        <v>0.1222544027016958</v>
      </c>
      <c r="H646" t="n">
        <v>0.0207098824425043</v>
      </c>
      <c r="I646" t="n">
        <v>0.178394965583588</v>
      </c>
      <c r="J646" t="n">
        <v>0.0152207941092175</v>
      </c>
      <c r="K646" t="n">
        <v>0.6044267138922084</v>
      </c>
      <c r="L646" t="b">
        <v>0</v>
      </c>
      <c r="M646" t="b">
        <v>0</v>
      </c>
      <c r="N646" t="inlineStr">
        <is>
          <t>alt</t>
        </is>
      </c>
      <c r="O646" t="n">
        <v>-85</v>
      </c>
      <c r="P646" t="n">
        <v>0.00708</v>
      </c>
      <c r="Q646" t="n">
        <v>-45</v>
      </c>
      <c r="R646" t="n">
        <v>0.03912</v>
      </c>
      <c r="S646">
        <f>IMAGE("https://mitra.stanford.edu/kundaje/oak/projects/neuro-variants/variant_position/credible/roussos_2024/variant_figures/roussos_2024.infant.GLU/rs11601890_count_position.png",4,220,900)</f>
        <v/>
      </c>
      <c r="T646">
        <f>IMAGE("https://mitra.stanford.edu/kundaje/oak/projects/neuro-variants/variant_position/credible/roussos_2024/variant_figures/roussos_2024.infant.GLU/rs11601890_profile_position.png",4,220,900)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0.045242396</v>
      </c>
      <c r="G647" t="n">
        <v>0.2011453858998514</v>
      </c>
      <c r="H647" t="n">
        <v>0.012408786311595</v>
      </c>
      <c r="I647" t="n">
        <v>0.528571812641779</v>
      </c>
      <c r="J647" t="n">
        <v>0.0542582508432725</v>
      </c>
      <c r="K647" t="n">
        <v>0.3256779353080561</v>
      </c>
      <c r="L647" t="b">
        <v>0</v>
      </c>
      <c r="M647" t="b">
        <v>0</v>
      </c>
      <c r="N647" t="inlineStr">
        <is>
          <t>alt</t>
        </is>
      </c>
      <c r="O647" t="n">
        <v>-60</v>
      </c>
      <c r="P647" t="n">
        <v>0.001011</v>
      </c>
      <c r="Q647" t="n">
        <v>45</v>
      </c>
      <c r="R647" t="n">
        <v>0.08210000000000001</v>
      </c>
      <c r="S647">
        <f>IMAGE("https://mitra.stanford.edu/kundaje/oak/projects/neuro-variants/variant_position/credible/roussos_2024/variant_figures/roussos_2024.infant.GLU/rs11601548_count_position.png",4,220,900)</f>
        <v/>
      </c>
      <c r="T647">
        <f>IMAGE("https://mitra.stanford.edu/kundaje/oak/projects/neuro-variants/variant_position/credible/roussos_2024/variant_figures/roussos_2024.infant.GLU/rs11601548_profile_position.png",4,220,900)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-0.0910516868</v>
      </c>
      <c r="G648" t="n">
        <v>0.0633047838115999</v>
      </c>
      <c r="H648" t="n">
        <v>0.0111252993723269</v>
      </c>
      <c r="I648" t="n">
        <v>0.6320808379395698</v>
      </c>
      <c r="J648" t="n">
        <v>0.07325337860182091</v>
      </c>
      <c r="K648" t="n">
        <v>0.263400600796424</v>
      </c>
      <c r="L648" t="b">
        <v>0</v>
      </c>
      <c r="M648" t="b">
        <v>0</v>
      </c>
      <c r="N648" t="inlineStr">
        <is>
          <t>ref</t>
        </is>
      </c>
      <c r="O648" t="n">
        <v>40</v>
      </c>
      <c r="P648" t="n">
        <v>0.002811</v>
      </c>
      <c r="Q648" t="n">
        <v>65</v>
      </c>
      <c r="R648" t="n">
        <v>0.12</v>
      </c>
      <c r="S648">
        <f>IMAGE("https://mitra.stanford.edu/kundaje/oak/projects/neuro-variants/variant_position/credible/roussos_2024/variant_figures/roussos_2024.infant.GLU/rs11607747_count_position.png",4,220,900)</f>
        <v/>
      </c>
      <c r="T648">
        <f>IMAGE("https://mitra.stanford.edu/kundaje/oak/projects/neuro-variants/variant_position/credible/roussos_2024/variant_figures/roussos_2024.infant.GLU/rs11607747_profile_position.png",4,220,900)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-0.0405163485999999</v>
      </c>
      <c r="G649" t="n">
        <v>0.2288269555918806</v>
      </c>
      <c r="H649" t="n">
        <v>0.0144420129280561</v>
      </c>
      <c r="I649" t="n">
        <v>0.3900142283515534</v>
      </c>
      <c r="J649" t="n">
        <v>0.0063195837650741</v>
      </c>
      <c r="K649" t="n">
        <v>0.7327683088783401</v>
      </c>
      <c r="L649" t="b">
        <v>0</v>
      </c>
      <c r="M649" t="b">
        <v>0</v>
      </c>
      <c r="N649" t="inlineStr">
        <is>
          <t>ref</t>
        </is>
      </c>
      <c r="O649" t="n">
        <v>-100</v>
      </c>
      <c r="P649" t="n">
        <v>0.1477</v>
      </c>
      <c r="Q649" t="n">
        <v>50</v>
      </c>
      <c r="R649" t="n">
        <v>0.02066</v>
      </c>
      <c r="S649">
        <f>IMAGE("https://mitra.stanford.edu/kundaje/oak/projects/neuro-variants/variant_position/credible/roussos_2024/variant_figures/roussos_2024.infant.GLU/rs11603480_count_position.png",4,220,900)</f>
        <v/>
      </c>
      <c r="T649">
        <f>IMAGE("https://mitra.stanford.edu/kundaje/oak/projects/neuro-variants/variant_position/credible/roussos_2024/variant_figures/roussos_2024.infant.GLU/rs11603480_profile_position.png",4,220,900)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0.00798163686</v>
      </c>
      <c r="G650" t="n">
        <v>0.6885986627555383</v>
      </c>
      <c r="H650" t="n">
        <v>0.0075893188146312</v>
      </c>
      <c r="I650" t="n">
        <v>0.9209332164632064</v>
      </c>
      <c r="J650" t="n">
        <v>0.031154787363037</v>
      </c>
      <c r="K650" t="n">
        <v>0.4485581271794569</v>
      </c>
      <c r="L650" t="b">
        <v>0</v>
      </c>
      <c r="M650" t="b">
        <v>0</v>
      </c>
      <c r="N650" t="inlineStr">
        <is>
          <t>alt</t>
        </is>
      </c>
      <c r="O650" t="n">
        <v>55</v>
      </c>
      <c r="P650" t="n">
        <v>0.005745</v>
      </c>
      <c r="Q650" t="n">
        <v>100</v>
      </c>
      <c r="R650" t="n">
        <v>0.2146</v>
      </c>
      <c r="S650">
        <f>IMAGE("https://mitra.stanford.edu/kundaje/oak/projects/neuro-variants/variant_position/credible/roussos_2024/variant_figures/roussos_2024.infant.GLU/rs6590000_count_position.png",4,220,900)</f>
        <v/>
      </c>
      <c r="T650">
        <f>IMAGE("https://mitra.stanford.edu/kundaje/oak/projects/neuro-variants/variant_position/credible/roussos_2024/variant_figures/roussos_2024.infant.GLU/rs6590000_profile_position.png",4,220,900)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-0.211903368</v>
      </c>
      <c r="G651" t="n">
        <v>0.0093763099651205</v>
      </c>
      <c r="H651" t="n">
        <v>0.0363140366166163</v>
      </c>
      <c r="I651" t="n">
        <v>0.0306583287806419</v>
      </c>
      <c r="J651" t="n">
        <v>0.0385645627108181</v>
      </c>
      <c r="K651" t="n">
        <v>0.3959786895174029</v>
      </c>
      <c r="L651" t="b">
        <v>1</v>
      </c>
      <c r="M651" t="b">
        <v>1</v>
      </c>
      <c r="N651" t="inlineStr">
        <is>
          <t>ref</t>
        </is>
      </c>
      <c r="O651" t="n">
        <v>75</v>
      </c>
      <c r="P651" t="n">
        <v>0.0126</v>
      </c>
      <c r="Q651" t="n">
        <v>-65</v>
      </c>
      <c r="R651" t="n">
        <v>0.0978</v>
      </c>
      <c r="S651">
        <f>IMAGE("https://mitra.stanford.edu/kundaje/oak/projects/neuro-variants/variant_position/credible/roussos_2024/variant_figures/roussos_2024.infant.GLU/rs11219174_count_position.png",4,220,900)</f>
        <v/>
      </c>
      <c r="T651">
        <f>IMAGE("https://mitra.stanford.edu/kundaje/oak/projects/neuro-variants/variant_position/credible/roussos_2024/variant_figures/roussos_2024.infant.GLU/rs11219174_profile_position.png",4,220,900)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-0.0518913694</v>
      </c>
      <c r="G652" t="n">
        <v>0.1572233875210999</v>
      </c>
      <c r="H652" t="n">
        <v>0.0110659255482192</v>
      </c>
      <c r="I652" t="n">
        <v>0.636647480286421</v>
      </c>
      <c r="J652" t="n">
        <v>0.0291937652946493</v>
      </c>
      <c r="K652" t="n">
        <v>0.466624867013174</v>
      </c>
      <c r="L652" t="b">
        <v>0</v>
      </c>
      <c r="M652" t="b">
        <v>0</v>
      </c>
      <c r="N652" t="inlineStr">
        <is>
          <t>ref</t>
        </is>
      </c>
      <c r="O652" t="n">
        <v>95</v>
      </c>
      <c r="P652" t="n">
        <v>0.006454</v>
      </c>
      <c r="Q652" t="n">
        <v>100</v>
      </c>
      <c r="R652" t="n">
        <v>0.1044</v>
      </c>
      <c r="S652">
        <f>IMAGE("https://mitra.stanford.edu/kundaje/oak/projects/neuro-variants/variant_position/credible/roussos_2024/variant_figures/roussos_2024.infant.GLU/rs11601260_count_position.png",4,220,900)</f>
        <v/>
      </c>
      <c r="T652">
        <f>IMAGE("https://mitra.stanford.edu/kundaje/oak/projects/neuro-variants/variant_position/credible/roussos_2024/variant_figures/roussos_2024.infant.GLU/rs11601260_profile_position.png",4,220,900)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0.020202848052</v>
      </c>
      <c r="G653" t="n">
        <v>0.4584496056947162</v>
      </c>
      <c r="H653" t="n">
        <v>0.0107950797359018</v>
      </c>
      <c r="I653" t="n">
        <v>0.6497713377659177</v>
      </c>
      <c r="J653" t="n">
        <v>0.000299830243171</v>
      </c>
      <c r="K653" t="n">
        <v>0.9493837969709809</v>
      </c>
      <c r="L653" t="b">
        <v>0</v>
      </c>
      <c r="M653" t="b">
        <v>0</v>
      </c>
      <c r="N653" t="inlineStr">
        <is>
          <t>alt</t>
        </is>
      </c>
      <c r="O653" t="n">
        <v>10</v>
      </c>
      <c r="P653" t="n">
        <v>0.002518</v>
      </c>
      <c r="Q653" t="n">
        <v>-15</v>
      </c>
      <c r="R653" t="n">
        <v>0.04492</v>
      </c>
      <c r="S653">
        <f>IMAGE("https://mitra.stanford.edu/kundaje/oak/projects/neuro-variants/variant_position/credible/roussos_2024/variant_figures/roussos_2024.infant.GLU/rs111454416_count_position.png",4,220,900)</f>
        <v/>
      </c>
      <c r="T653">
        <f>IMAGE("https://mitra.stanford.edu/kundaje/oak/projects/neuro-variants/variant_position/credible/roussos_2024/variant_figures/roussos_2024.infant.GLU/rs111454416_profile_position.png",4,220,900)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0.0298303168</v>
      </c>
      <c r="G654" t="n">
        <v>0.3141631794191565</v>
      </c>
      <c r="H654" t="n">
        <v>0.0505444110590993</v>
      </c>
      <c r="I654" t="n">
        <v>0.0072340757072239</v>
      </c>
      <c r="J654" t="n">
        <v>0.0525187945060516</v>
      </c>
      <c r="K654" t="n">
        <v>0.3277798955042875</v>
      </c>
      <c r="L654" t="b">
        <v>1</v>
      </c>
      <c r="M654" t="b">
        <v>1</v>
      </c>
      <c r="N654" t="inlineStr">
        <is>
          <t>alt</t>
        </is>
      </c>
      <c r="O654" t="n">
        <v>-100</v>
      </c>
      <c r="P654" t="n">
        <v>0.02057</v>
      </c>
      <c r="Q654" t="n">
        <v>10</v>
      </c>
      <c r="R654" t="n">
        <v>0.003914</v>
      </c>
      <c r="S654">
        <f>IMAGE("https://mitra.stanford.edu/kundaje/oak/projects/neuro-variants/variant_position/credible/roussos_2024/variant_figures/roussos_2024.infant.GLU/rs2212756_count_position.png",4,220,900)</f>
        <v/>
      </c>
      <c r="T654">
        <f>IMAGE("https://mitra.stanford.edu/kundaje/oak/projects/neuro-variants/variant_position/credible/roussos_2024/variant_figures/roussos_2024.infant.GLU/rs2212756_profile_position.png",4,220,900)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-0.1983978599999999</v>
      </c>
      <c r="G655" t="n">
        <v>0.0106201057732315</v>
      </c>
      <c r="H655" t="n">
        <v>0.0269552422346675</v>
      </c>
      <c r="I655" t="n">
        <v>0.082388406371864</v>
      </c>
      <c r="J655" t="n">
        <v>0.0200379197072245</v>
      </c>
      <c r="K655" t="n">
        <v>0.5427176502199245</v>
      </c>
      <c r="L655" t="b">
        <v>1</v>
      </c>
      <c r="M655" t="b">
        <v>0</v>
      </c>
      <c r="N655" t="inlineStr">
        <is>
          <t>ref</t>
        </is>
      </c>
      <c r="O655" t="n">
        <v>-95</v>
      </c>
      <c r="P655" t="n">
        <v>0.002243</v>
      </c>
      <c r="Q655" t="n">
        <v>80</v>
      </c>
      <c r="R655" t="n">
        <v>0.0515</v>
      </c>
      <c r="S655">
        <f>IMAGE("https://mitra.stanford.edu/kundaje/oak/projects/neuro-variants/variant_position/credible/roussos_2024/variant_figures/roussos_2024.infant.GLU/rs1942660_count_position.png",4,220,900)</f>
        <v/>
      </c>
      <c r="T655">
        <f>IMAGE("https://mitra.stanford.edu/kundaje/oak/projects/neuro-variants/variant_position/credible/roussos_2024/variant_figures/roussos_2024.infant.GLU/rs1942660_profile_position.png",4,220,900)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-0.01423885</v>
      </c>
      <c r="G656" t="n">
        <v>0.5508055175225388</v>
      </c>
      <c r="H656" t="n">
        <v>0.0325548051039479</v>
      </c>
      <c r="I656" t="n">
        <v>0.043688614614374</v>
      </c>
      <c r="J656" t="n">
        <v>0.0064750104720121</v>
      </c>
      <c r="K656" t="n">
        <v>0.7258913319111544</v>
      </c>
      <c r="L656" t="b">
        <v>0</v>
      </c>
      <c r="M656" t="b">
        <v>0</v>
      </c>
      <c r="N656" t="inlineStr">
        <is>
          <t>ref</t>
        </is>
      </c>
      <c r="O656" t="n">
        <v>-100</v>
      </c>
      <c r="P656" t="n">
        <v>0.00415</v>
      </c>
      <c r="Q656" t="n">
        <v>-100</v>
      </c>
      <c r="R656" t="n">
        <v>0.1313</v>
      </c>
      <c r="S656">
        <f>IMAGE("https://mitra.stanford.edu/kundaje/oak/projects/neuro-variants/variant_position/credible/roussos_2024/variant_figures/roussos_2024.infant.GLU/rs6590093_count_position.png",4,220,900)</f>
        <v/>
      </c>
      <c r="T656">
        <f>IMAGE("https://mitra.stanford.edu/kundaje/oak/projects/neuro-variants/variant_position/credible/roussos_2024/variant_figures/roussos_2024.infant.GLU/rs6590093_profile_position.png",4,220,900)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0.067955008</v>
      </c>
      <c r="G657" t="n">
        <v>0.1094766266799073</v>
      </c>
      <c r="H657" t="n">
        <v>0.010704568426519</v>
      </c>
      <c r="I657" t="n">
        <v>0.6716213338254877</v>
      </c>
      <c r="J657" t="n">
        <v>0.0062060451068144</v>
      </c>
      <c r="K657" t="n">
        <v>0.7399898520432115</v>
      </c>
      <c r="L657" t="b">
        <v>0</v>
      </c>
      <c r="M657" t="b">
        <v>0</v>
      </c>
      <c r="N657" t="inlineStr">
        <is>
          <t>alt</t>
        </is>
      </c>
      <c r="O657" t="n">
        <v>85</v>
      </c>
      <c r="P657" t="n">
        <v>0.003723</v>
      </c>
      <c r="Q657" t="n">
        <v>15</v>
      </c>
      <c r="R657" t="n">
        <v>0.043</v>
      </c>
      <c r="S657">
        <f>IMAGE("https://mitra.stanford.edu/kundaje/oak/projects/neuro-variants/variant_position/credible/roussos_2024/variant_figures/roussos_2024.infant.GLU/rs11601322_count_position.png",4,220,900)</f>
        <v/>
      </c>
      <c r="T657">
        <f>IMAGE("https://mitra.stanford.edu/kundaje/oak/projects/neuro-variants/variant_position/credible/roussos_2024/variant_figures/roussos_2024.infant.GLU/rs11601322_profile_position.png",4,220,900)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-0.07529815099999999</v>
      </c>
      <c r="G658" t="n">
        <v>0.0924397167786659</v>
      </c>
      <c r="H658" t="n">
        <v>0.06448513867706911</v>
      </c>
      <c r="I658" t="n">
        <v>0.0021042927646905</v>
      </c>
      <c r="J658" t="n">
        <v>0.0007594964615621</v>
      </c>
      <c r="K658" t="n">
        <v>0.9092044148936126</v>
      </c>
      <c r="L658" t="b">
        <v>0</v>
      </c>
      <c r="M658" t="b">
        <v>0</v>
      </c>
      <c r="N658" t="inlineStr">
        <is>
          <t>ref</t>
        </is>
      </c>
      <c r="O658" t="n">
        <v>-95</v>
      </c>
      <c r="P658" t="n">
        <v>0.003143</v>
      </c>
      <c r="Q658" t="n">
        <v>15</v>
      </c>
      <c r="R658" t="n">
        <v>0.03232</v>
      </c>
      <c r="S658">
        <f>IMAGE("https://mitra.stanford.edu/kundaje/oak/projects/neuro-variants/variant_position/credible/roussos_2024/variant_figures/roussos_2024.infant.GLU/rs7938753_count_position.png",4,220,900)</f>
        <v/>
      </c>
      <c r="T658">
        <f>IMAGE("https://mitra.stanford.edu/kundaje/oak/projects/neuro-variants/variant_position/credible/roussos_2024/variant_figures/roussos_2024.infant.GLU/rs7938753_profile_position.png",4,220,900)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-0.0678341247999999</v>
      </c>
      <c r="G659" t="n">
        <v>0.1086684996736827</v>
      </c>
      <c r="H659" t="n">
        <v>0.0594115574872046</v>
      </c>
      <c r="I659" t="n">
        <v>0.0032553070036076</v>
      </c>
      <c r="J659" t="n">
        <v>0.0222668048237394</v>
      </c>
      <c r="K659" t="n">
        <v>0.5118532567798428</v>
      </c>
      <c r="L659" t="b">
        <v>1</v>
      </c>
      <c r="M659" t="b">
        <v>0</v>
      </c>
      <c r="N659" t="inlineStr">
        <is>
          <t>ref</t>
        </is>
      </c>
      <c r="O659" t="n">
        <v>-100</v>
      </c>
      <c r="P659" t="n">
        <v>0.1144</v>
      </c>
      <c r="Q659" t="n">
        <v>-100</v>
      </c>
      <c r="R659" t="n">
        <v>0.05103</v>
      </c>
      <c r="S659">
        <f>IMAGE("https://mitra.stanford.edu/kundaje/oak/projects/neuro-variants/variant_position/credible/roussos_2024/variant_figures/roussos_2024.infant.GLU/rs35274053_count_position.png",4,220,900)</f>
        <v/>
      </c>
      <c r="T659">
        <f>IMAGE("https://mitra.stanford.edu/kundaje/oak/projects/neuro-variants/variant_position/credible/roussos_2024/variant_figures/roussos_2024.infant.GLU/rs35274053_profile_position.png",4,220,900)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0.039393988</v>
      </c>
      <c r="G660" t="n">
        <v>0.2258603032486028</v>
      </c>
      <c r="H660" t="n">
        <v>0.0205002612121225</v>
      </c>
      <c r="I660" t="n">
        <v>0.1717372033903795</v>
      </c>
      <c r="J660" t="n">
        <v>0.06261491655459769</v>
      </c>
      <c r="K660" t="n">
        <v>0.2943027194948821</v>
      </c>
      <c r="L660" t="b">
        <v>0</v>
      </c>
      <c r="M660" t="b">
        <v>0</v>
      </c>
      <c r="N660" t="inlineStr">
        <is>
          <t>alt</t>
        </is>
      </c>
      <c r="O660" t="n">
        <v>10</v>
      </c>
      <c r="P660" t="n">
        <v>0.001694</v>
      </c>
      <c r="Q660" t="n">
        <v>-15</v>
      </c>
      <c r="R660" t="n">
        <v>0.04718</v>
      </c>
      <c r="S660">
        <f>IMAGE("https://mitra.stanford.edu/kundaje/oak/projects/neuro-variants/variant_position/credible/roussos_2024/variant_figures/roussos_2024.infant.GLU/rs10791102_count_position.png",4,220,900)</f>
        <v/>
      </c>
      <c r="T660">
        <f>IMAGE("https://mitra.stanford.edu/kundaje/oak/projects/neuro-variants/variant_position/credible/roussos_2024/variant_figures/roussos_2024.infant.GLU/rs10791102_profile_position.png",4,220,900)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-0.0288405192</v>
      </c>
      <c r="G661" t="n">
        <v>0.3275834899642377</v>
      </c>
      <c r="H661" t="n">
        <v>0.0113359096841051</v>
      </c>
      <c r="I661" t="n">
        <v>0.6105266962319438</v>
      </c>
      <c r="J661" t="n">
        <v>0.0868030600321876</v>
      </c>
      <c r="K661" t="n">
        <v>0.2347073109216227</v>
      </c>
      <c r="L661" t="b">
        <v>0</v>
      </c>
      <c r="M661" t="b">
        <v>0</v>
      </c>
      <c r="N661" t="inlineStr">
        <is>
          <t>ref</t>
        </is>
      </c>
      <c r="O661" t="n">
        <v>30</v>
      </c>
      <c r="P661" t="n">
        <v>0.00525</v>
      </c>
      <c r="Q661" t="n">
        <v>95</v>
      </c>
      <c r="R661" t="n">
        <v>0.0396</v>
      </c>
      <c r="S661">
        <f>IMAGE("https://mitra.stanford.edu/kundaje/oak/projects/neuro-variants/variant_position/credible/roussos_2024/variant_figures/roussos_2024.infant.GLU/rs10894286_count_position.png",4,220,900)</f>
        <v/>
      </c>
      <c r="T661">
        <f>IMAGE("https://mitra.stanford.edu/kundaje/oak/projects/neuro-variants/variant_position/credible/roussos_2024/variant_figures/roussos_2024.infant.GLU/rs10894286_profile_position.png",4,220,900)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-0.07322768139999999</v>
      </c>
      <c r="G662" t="n">
        <v>0.09133471489724999</v>
      </c>
      <c r="H662" t="n">
        <v>0.0272908054327882</v>
      </c>
      <c r="I662" t="n">
        <v>0.0778722754351433</v>
      </c>
      <c r="J662" t="n">
        <v>0.0360049824731585</v>
      </c>
      <c r="K662" t="n">
        <v>0.4167436192831937</v>
      </c>
      <c r="L662" t="b">
        <v>0</v>
      </c>
      <c r="M662" t="b">
        <v>0</v>
      </c>
      <c r="N662" t="inlineStr">
        <is>
          <t>ref</t>
        </is>
      </c>
      <c r="O662" t="n">
        <v>-85</v>
      </c>
      <c r="P662" t="n">
        <v>0.009429999999999999</v>
      </c>
      <c r="Q662" t="n">
        <v>-95</v>
      </c>
      <c r="R662" t="n">
        <v>0.1666</v>
      </c>
      <c r="S662">
        <f>IMAGE("https://mitra.stanford.edu/kundaje/oak/projects/neuro-variants/variant_position/credible/roussos_2024/variant_figures/roussos_2024.infant.GLU/rs11222406_count_position.png",4,220,900)</f>
        <v/>
      </c>
      <c r="T662">
        <f>IMAGE("https://mitra.stanford.edu/kundaje/oak/projects/neuro-variants/variant_position/credible/roussos_2024/variant_figures/roussos_2024.infant.GLU/rs11222406_profile_position.png",4,220,900)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0.0530250138</v>
      </c>
      <c r="G663" t="n">
        <v>0.1513685684419391</v>
      </c>
      <c r="H663" t="n">
        <v>0.0376279026109377</v>
      </c>
      <c r="I663" t="n">
        <v>0.0257296502277749</v>
      </c>
      <c r="J663" t="n">
        <v>0.0085319341255318</v>
      </c>
      <c r="K663" t="n">
        <v>0.6814751652195296</v>
      </c>
      <c r="L663" t="b">
        <v>0</v>
      </c>
      <c r="M663" t="b">
        <v>0</v>
      </c>
      <c r="N663" t="inlineStr">
        <is>
          <t>alt</t>
        </is>
      </c>
      <c r="O663" t="n">
        <v>95</v>
      </c>
      <c r="P663" t="n">
        <v>0.01888</v>
      </c>
      <c r="Q663" t="n">
        <v>20</v>
      </c>
      <c r="R663" t="n">
        <v>0.01196</v>
      </c>
      <c r="S663">
        <f>IMAGE("https://mitra.stanford.edu/kundaje/oak/projects/neuro-variants/variant_position/credible/roussos_2024/variant_figures/roussos_2024.infant.GLU/rs10894307_count_position.png",4,220,900)</f>
        <v/>
      </c>
      <c r="T663">
        <f>IMAGE("https://mitra.stanford.edu/kundaje/oak/projects/neuro-variants/variant_position/credible/roussos_2024/variant_figures/roussos_2024.infant.GLU/rs10894307_profile_position.png",4,220,900)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-0.0330914396</v>
      </c>
      <c r="G664" t="n">
        <v>0.297179693817423</v>
      </c>
      <c r="H664" t="n">
        <v>0.0285945115117358</v>
      </c>
      <c r="I664" t="n">
        <v>0.0674149042626002</v>
      </c>
      <c r="J664" t="n">
        <v>0.0154445644745253</v>
      </c>
      <c r="K664" t="n">
        <v>0.5889045829677547</v>
      </c>
      <c r="L664" t="b">
        <v>0</v>
      </c>
      <c r="M664" t="b">
        <v>0</v>
      </c>
      <c r="N664" t="inlineStr">
        <is>
          <t>ref</t>
        </is>
      </c>
      <c r="O664" t="n">
        <v>80</v>
      </c>
      <c r="P664" t="n">
        <v>0.126</v>
      </c>
      <c r="Q664" t="n">
        <v>-95</v>
      </c>
      <c r="R664" t="n">
        <v>0.06015</v>
      </c>
      <c r="S664">
        <f>IMAGE("https://mitra.stanford.edu/kundaje/oak/projects/neuro-variants/variant_position/credible/roussos_2024/variant_figures/roussos_2024.infant.GLU/rs10894308_count_position.png",4,220,900)</f>
        <v/>
      </c>
      <c r="T664">
        <f>IMAGE("https://mitra.stanford.edu/kundaje/oak/projects/neuro-variants/variant_position/credible/roussos_2024/variant_figures/roussos_2024.infant.GLU/rs10894308_profile_position.png",4,220,900)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-0.180997548</v>
      </c>
      <c r="G665" t="n">
        <v>0.0140276501401051</v>
      </c>
      <c r="H665" t="n">
        <v>0.0293948178751175</v>
      </c>
      <c r="I665" t="n">
        <v>0.0628943456602416</v>
      </c>
      <c r="J665" t="n">
        <v>0.0123812253356554</v>
      </c>
      <c r="K665" t="n">
        <v>0.6307899511232736</v>
      </c>
      <c r="L665" t="b">
        <v>1</v>
      </c>
      <c r="M665" t="b">
        <v>0</v>
      </c>
      <c r="N665" t="inlineStr">
        <is>
          <t>ref</t>
        </is>
      </c>
      <c r="O665" t="n">
        <v>65</v>
      </c>
      <c r="P665" t="n">
        <v>0.00809</v>
      </c>
      <c r="Q665" t="n">
        <v>-10</v>
      </c>
      <c r="R665" t="n">
        <v>0.01282</v>
      </c>
      <c r="S665">
        <f>IMAGE("https://mitra.stanford.edu/kundaje/oak/projects/neuro-variants/variant_position/credible/roussos_2024/variant_figures/roussos_2024.infant.GLU/rs74349870_count_position.png",4,220,900)</f>
        <v/>
      </c>
      <c r="T665">
        <f>IMAGE("https://mitra.stanford.edu/kundaje/oak/projects/neuro-variants/variant_position/credible/roussos_2024/variant_figures/roussos_2024.infant.GLU/rs74349870_profile_position.png",4,220,900)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-0.0146848937999999</v>
      </c>
      <c r="G666" t="n">
        <v>0.5371699972916798</v>
      </c>
      <c r="H666" t="n">
        <v>0.0499343922743383</v>
      </c>
      <c r="I666" t="n">
        <v>0.0077140026345207</v>
      </c>
      <c r="J666" t="n">
        <v>0.0184715271500694</v>
      </c>
      <c r="K666" t="n">
        <v>0.5523640304087772</v>
      </c>
      <c r="L666" t="b">
        <v>1</v>
      </c>
      <c r="M666" t="b">
        <v>0</v>
      </c>
      <c r="N666" t="inlineStr">
        <is>
          <t>ref</t>
        </is>
      </c>
      <c r="O666" t="n">
        <v>100</v>
      </c>
      <c r="P666" t="n">
        <v>0.01782</v>
      </c>
      <c r="Q666" t="n">
        <v>-60</v>
      </c>
      <c r="R666" t="n">
        <v>0.08400000000000001</v>
      </c>
      <c r="S666">
        <f>IMAGE("https://mitra.stanford.edu/kundaje/oak/projects/neuro-variants/variant_position/credible/roussos_2024/variant_figures/roussos_2024.infant.GLU/rs540409_count_position.png",4,220,900)</f>
        <v/>
      </c>
      <c r="T666">
        <f>IMAGE("https://mitra.stanford.edu/kundaje/oak/projects/neuro-variants/variant_position/credible/roussos_2024/variant_figures/roussos_2024.infant.GLU/rs540409_profile_position.png",4,220,900)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-0.025917401</v>
      </c>
      <c r="G667" t="n">
        <v>0.297788943987625</v>
      </c>
      <c r="H667" t="n">
        <v>0.0115939935194</v>
      </c>
      <c r="I667" t="n">
        <v>0.5946558044684535</v>
      </c>
      <c r="J667" t="n">
        <v>0.0249707885976321</v>
      </c>
      <c r="K667" t="n">
        <v>0.4956141542103192</v>
      </c>
      <c r="L667" t="b">
        <v>0</v>
      </c>
      <c r="M667" t="b">
        <v>0</v>
      </c>
      <c r="N667" t="inlineStr">
        <is>
          <t>ref</t>
        </is>
      </c>
      <c r="O667" t="n">
        <v>-45</v>
      </c>
      <c r="P667" t="n">
        <v>0.001453</v>
      </c>
      <c r="Q667" t="n">
        <v>-100</v>
      </c>
      <c r="R667" t="n">
        <v>0.02005</v>
      </c>
      <c r="S667">
        <f>IMAGE("https://mitra.stanford.edu/kundaje/oak/projects/neuro-variants/variant_position/credible/roussos_2024/variant_figures/roussos_2024.infant.GLU/rs407056_count_position.png",4,220,900)</f>
        <v/>
      </c>
      <c r="T667">
        <f>IMAGE("https://mitra.stanford.edu/kundaje/oak/projects/neuro-variants/variant_position/credible/roussos_2024/variant_figures/roussos_2024.infant.GLU/rs407056_profile_position.png",4,220,900)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0.047099245</v>
      </c>
      <c r="G668" t="n">
        <v>0.1802465987313974</v>
      </c>
      <c r="H668" t="n">
        <v>0.0135866910741904</v>
      </c>
      <c r="I668" t="n">
        <v>0.4434361593003992</v>
      </c>
      <c r="J668" t="n">
        <v>0.1209484336074428</v>
      </c>
      <c r="K668" t="n">
        <v>0.1813366488048026</v>
      </c>
      <c r="L668" t="b">
        <v>0</v>
      </c>
      <c r="M668" t="b">
        <v>0</v>
      </c>
      <c r="N668" t="inlineStr">
        <is>
          <t>alt</t>
        </is>
      </c>
      <c r="O668" t="n">
        <v>-45</v>
      </c>
      <c r="P668" t="n">
        <v>0.005234</v>
      </c>
      <c r="Q668" t="n">
        <v>-50</v>
      </c>
      <c r="R668" t="n">
        <v>0.0537</v>
      </c>
      <c r="S668">
        <f>IMAGE("https://mitra.stanford.edu/kundaje/oak/projects/neuro-variants/variant_position/credible/roussos_2024/variant_figures/roussos_2024.infant.GLU/rs408376_count_position.png",4,220,900)</f>
        <v/>
      </c>
      <c r="T668">
        <f>IMAGE("https://mitra.stanford.edu/kundaje/oak/projects/neuro-variants/variant_position/credible/roussos_2024/variant_figures/roussos_2024.infant.GLU/rs408376_profile_position.png",4,220,900)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0.0030142980399999</v>
      </c>
      <c r="G669" t="n">
        <v>0.8651334940808857</v>
      </c>
      <c r="H669" t="n">
        <v>0.0063850576582844</v>
      </c>
      <c r="I669" t="n">
        <v>0.9810612428952684</v>
      </c>
      <c r="J669" t="n">
        <v>0.372227121409202</v>
      </c>
      <c r="K669" t="n">
        <v>0.0506001290536198</v>
      </c>
      <c r="L669" t="b">
        <v>0</v>
      </c>
      <c r="M669" t="b">
        <v>0</v>
      </c>
      <c r="N669" t="inlineStr">
        <is>
          <t>alt</t>
        </is>
      </c>
      <c r="O669" t="n">
        <v>-10</v>
      </c>
      <c r="P669" t="n">
        <v>0.002342</v>
      </c>
      <c r="Q669" t="n">
        <v>-100</v>
      </c>
      <c r="R669" t="n">
        <v>0.616</v>
      </c>
      <c r="S669">
        <f>IMAGE("https://mitra.stanford.edu/kundaje/oak/projects/neuro-variants/variant_position/credible/roussos_2024/variant_figures/roussos_2024.infant.GLU/rs12279734_count_position.png",4,220,900)</f>
        <v/>
      </c>
      <c r="T669">
        <f>IMAGE("https://mitra.stanford.edu/kundaje/oak/projects/neuro-variants/variant_position/credible/roussos_2024/variant_figures/roussos_2024.infant.GLU/rs12279734_profile_position.png",4,220,900)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0.0465660004</v>
      </c>
      <c r="G670" t="n">
        <v>0.1900345289211196</v>
      </c>
      <c r="H670" t="n">
        <v>0.0152904958764417</v>
      </c>
      <c r="I670" t="n">
        <v>0.3493014704744043</v>
      </c>
      <c r="J670" t="n">
        <v>0.0077151171763045</v>
      </c>
      <c r="K670" t="n">
        <v>0.6939626930099412</v>
      </c>
      <c r="L670" t="b">
        <v>0</v>
      </c>
      <c r="M670" t="b">
        <v>0</v>
      </c>
      <c r="N670" t="inlineStr">
        <is>
          <t>alt</t>
        </is>
      </c>
      <c r="O670" t="n">
        <v>75</v>
      </c>
      <c r="P670" t="n">
        <v>0.0017605</v>
      </c>
      <c r="Q670" t="n">
        <v>100</v>
      </c>
      <c r="R670" t="n">
        <v>0.1506</v>
      </c>
      <c r="S670">
        <f>IMAGE("https://mitra.stanford.edu/kundaje/oak/projects/neuro-variants/variant_position/credible/roussos_2024/variant_figures/roussos_2024.infant.GLU/rs401560_count_position.png",4,220,900)</f>
        <v/>
      </c>
      <c r="T670">
        <f>IMAGE("https://mitra.stanford.edu/kundaje/oak/projects/neuro-variants/variant_position/credible/roussos_2024/variant_figures/roussos_2024.infant.GLU/rs401560_profile_position.png",4,220,900)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-0.1306945916</v>
      </c>
      <c r="G671" t="n">
        <v>0.0310004758988088</v>
      </c>
      <c r="H671" t="n">
        <v>0.0257857501338483</v>
      </c>
      <c r="I671" t="n">
        <v>0.0953172421748902</v>
      </c>
      <c r="J671" t="n">
        <v>0.0070360898608875</v>
      </c>
      <c r="K671" t="n">
        <v>0.7069535650490287</v>
      </c>
      <c r="L671" t="b">
        <v>0</v>
      </c>
      <c r="M671" t="b">
        <v>0</v>
      </c>
      <c r="N671" t="inlineStr">
        <is>
          <t>ref</t>
        </is>
      </c>
      <c r="O671" t="n">
        <v>95</v>
      </c>
      <c r="P671" t="n">
        <v>0.0188</v>
      </c>
      <c r="Q671" t="n">
        <v>-35</v>
      </c>
      <c r="R671" t="n">
        <v>0.03247</v>
      </c>
      <c r="S671">
        <f>IMAGE("https://mitra.stanford.edu/kundaje/oak/projects/neuro-variants/variant_position/credible/roussos_2024/variant_figures/roussos_2024.infant.GLU/rs390812_count_position.png",4,220,900)</f>
        <v/>
      </c>
      <c r="T671">
        <f>IMAGE("https://mitra.stanford.edu/kundaje/oak/projects/neuro-variants/variant_position/credible/roussos_2024/variant_figures/roussos_2024.infant.GLU/rs390812_profile_position.png",4,220,900)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0.0462971099999999</v>
      </c>
      <c r="G672" t="n">
        <v>0.1869154437386421</v>
      </c>
      <c r="H672" t="n">
        <v>0.0336013739669733</v>
      </c>
      <c r="I672" t="n">
        <v>0.0391763217488632</v>
      </c>
      <c r="J672" t="n">
        <v>0.0033455323089133</v>
      </c>
      <c r="K672" t="n">
        <v>0.7970656287680234</v>
      </c>
      <c r="L672" t="b">
        <v>0</v>
      </c>
      <c r="M672" t="b">
        <v>0</v>
      </c>
      <c r="N672" t="inlineStr">
        <is>
          <t>alt</t>
        </is>
      </c>
      <c r="O672" t="n">
        <v>10</v>
      </c>
      <c r="P672" t="n">
        <v>0.001434</v>
      </c>
      <c r="Q672" t="n">
        <v>25</v>
      </c>
      <c r="R672" t="n">
        <v>0.02771</v>
      </c>
      <c r="S672">
        <f>IMAGE("https://mitra.stanford.edu/kundaje/oak/projects/neuro-variants/variant_position/credible/roussos_2024/variant_figures/roussos_2024.infant.GLU/rs378523_count_position.png",4,220,900)</f>
        <v/>
      </c>
      <c r="T672">
        <f>IMAGE("https://mitra.stanford.edu/kundaje/oak/projects/neuro-variants/variant_position/credible/roussos_2024/variant_figures/roussos_2024.infant.GLU/rs378523_profile_position.png",4,220,900)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0.1426857</v>
      </c>
      <c r="G673" t="n">
        <v>0.0254307469635498</v>
      </c>
      <c r="H673" t="n">
        <v>0.0303778277341473</v>
      </c>
      <c r="I673" t="n">
        <v>0.0570415865028186</v>
      </c>
      <c r="J673" t="n">
        <v>0.0053583632796137</v>
      </c>
      <c r="K673" t="n">
        <v>0.7534214685148217</v>
      </c>
      <c r="L673" t="b">
        <v>0</v>
      </c>
      <c r="M673" t="b">
        <v>0</v>
      </c>
      <c r="N673" t="inlineStr">
        <is>
          <t>alt</t>
        </is>
      </c>
      <c r="O673" t="n">
        <v>-75</v>
      </c>
      <c r="P673" t="n">
        <v>0.01167</v>
      </c>
      <c r="Q673" t="n">
        <v>-60</v>
      </c>
      <c r="R673" t="n">
        <v>0.03156</v>
      </c>
      <c r="S673">
        <f>IMAGE("https://mitra.stanford.edu/kundaje/oak/projects/neuro-variants/variant_position/credible/roussos_2024/variant_figures/roussos_2024.infant.GLU/rs451456_count_position.png",4,220,900)</f>
        <v/>
      </c>
      <c r="T673">
        <f>IMAGE("https://mitra.stanford.edu/kundaje/oak/projects/neuro-variants/variant_position/credible/roussos_2024/variant_figures/roussos_2024.infant.GLU/rs451456_profile_position.png",4,220,900)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0.0014236576199999</v>
      </c>
      <c r="G674" t="n">
        <v>0.6728931454417065</v>
      </c>
      <c r="H674" t="n">
        <v>0.0100893290358059</v>
      </c>
      <c r="I674" t="n">
        <v>0.7202747662310297</v>
      </c>
      <c r="J674" t="n">
        <v>0.0011607398752176</v>
      </c>
      <c r="K674" t="n">
        <v>0.8836844670422828</v>
      </c>
      <c r="L674" t="b">
        <v>0</v>
      </c>
      <c r="M674" t="b">
        <v>0</v>
      </c>
      <c r="N674" t="inlineStr">
        <is>
          <t>alt</t>
        </is>
      </c>
      <c r="O674" t="n">
        <v>-30</v>
      </c>
      <c r="P674" t="n">
        <v>0.00041</v>
      </c>
      <c r="Q674" t="n">
        <v>-100</v>
      </c>
      <c r="R674" t="n">
        <v>0.06726</v>
      </c>
      <c r="S674">
        <f>IMAGE("https://mitra.stanford.edu/kundaje/oak/projects/neuro-variants/variant_position/credible/roussos_2024/variant_figures/roussos_2024.infant.GLU/rs405479_count_position.png",4,220,900)</f>
        <v/>
      </c>
      <c r="T674">
        <f>IMAGE("https://mitra.stanford.edu/kundaje/oak/projects/neuro-variants/variant_position/credible/roussos_2024/variant_figures/roussos_2024.infant.GLU/rs405479_profile_position.png",4,220,900)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0.016974096794</v>
      </c>
      <c r="G675" t="n">
        <v>0.40590506993186</v>
      </c>
      <c r="H675" t="n">
        <v>0.0400149456238844</v>
      </c>
      <c r="I675" t="n">
        <v>0.0200215053992848</v>
      </c>
      <c r="J675" t="n">
        <v>0.0129599417976586</v>
      </c>
      <c r="K675" t="n">
        <v>0.6331236642525043</v>
      </c>
      <c r="L675" t="b">
        <v>0</v>
      </c>
      <c r="M675" t="b">
        <v>0</v>
      </c>
      <c r="N675" t="inlineStr">
        <is>
          <t>alt</t>
        </is>
      </c>
      <c r="O675" t="n">
        <v>0</v>
      </c>
      <c r="P675" t="n">
        <v>0</v>
      </c>
      <c r="Q675" t="n">
        <v>60</v>
      </c>
      <c r="R675" t="n">
        <v>0.1023</v>
      </c>
      <c r="S675">
        <f>IMAGE("https://mitra.stanford.edu/kundaje/oak/projects/neuro-variants/variant_position/credible/roussos_2024/variant_figures/roussos_2024.infant.GLU/rs426913_count_position.png",4,220,900)</f>
        <v/>
      </c>
      <c r="T675">
        <f>IMAGE("https://mitra.stanford.edu/kundaje/oak/projects/neuro-variants/variant_position/credible/roussos_2024/variant_figures/roussos_2024.infant.GLU/rs426913_profile_position.png",4,220,900)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0.0291956667</v>
      </c>
      <c r="G676" t="n">
        <v>0.3157003918509976</v>
      </c>
      <c r="H676" t="n">
        <v>0.0502764470572363</v>
      </c>
      <c r="I676" t="n">
        <v>0.0075241734177876</v>
      </c>
      <c r="J676" t="n">
        <v>0.0444200709892193</v>
      </c>
      <c r="K676" t="n">
        <v>0.3720540105043328</v>
      </c>
      <c r="L676" t="b">
        <v>1</v>
      </c>
      <c r="M676" t="b">
        <v>0</v>
      </c>
      <c r="N676" t="inlineStr">
        <is>
          <t>alt</t>
        </is>
      </c>
      <c r="O676" t="n">
        <v>80</v>
      </c>
      <c r="P676" t="n">
        <v>0.02136</v>
      </c>
      <c r="Q676" t="n">
        <v>-100</v>
      </c>
      <c r="R676" t="n">
        <v>0.11224</v>
      </c>
      <c r="S676">
        <f>IMAGE("https://mitra.stanford.edu/kundaje/oak/projects/neuro-variants/variant_position/credible/roussos_2024/variant_figures/roussos_2024.infant.GLU/rs7119976_count_position.png",4,220,900)</f>
        <v/>
      </c>
      <c r="T676">
        <f>IMAGE("https://mitra.stanford.edu/kundaje/oak/projects/neuro-variants/variant_position/credible/roussos_2024/variant_figures/roussos_2024.infant.GLU/rs7119976_profile_position.png",4,220,900)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-0.01300139718</v>
      </c>
      <c r="G677" t="n">
        <v>0.5821545281450198</v>
      </c>
      <c r="H677" t="n">
        <v>0.0338825126093989</v>
      </c>
      <c r="I677" t="n">
        <v>0.0378001871631172</v>
      </c>
      <c r="J677" t="n">
        <v>0.0103871337551532</v>
      </c>
      <c r="K677" t="n">
        <v>0.6557186250824997</v>
      </c>
      <c r="L677" t="b">
        <v>0</v>
      </c>
      <c r="M677" t="b">
        <v>0</v>
      </c>
      <c r="N677" t="inlineStr">
        <is>
          <t>ref</t>
        </is>
      </c>
      <c r="O677" t="n">
        <v>90</v>
      </c>
      <c r="P677" t="n">
        <v>0.0505</v>
      </c>
      <c r="Q677" t="n">
        <v>5</v>
      </c>
      <c r="R677" t="n">
        <v>0.007202</v>
      </c>
      <c r="S677">
        <f>IMAGE("https://mitra.stanford.edu/kundaje/oak/projects/neuro-variants/variant_position/credible/roussos_2024/variant_figures/roussos_2024.infant.GLU/rs7106636_count_position.png",4,220,900)</f>
        <v/>
      </c>
      <c r="T677">
        <f>IMAGE("https://mitra.stanford.edu/kundaje/oak/projects/neuro-variants/variant_position/credible/roussos_2024/variant_figures/roussos_2024.infant.GLU/rs7106636_profile_position.png",4,220,900)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0.0226997226</v>
      </c>
      <c r="G678" t="n">
        <v>0.3938926115570889</v>
      </c>
      <c r="H678" t="n">
        <v>0.0492942622675932</v>
      </c>
      <c r="I678" t="n">
        <v>0.0081764993151463</v>
      </c>
      <c r="J678" t="n">
        <v>0.023898234088053</v>
      </c>
      <c r="K678" t="n">
        <v>0.5020474531858621</v>
      </c>
      <c r="L678" t="b">
        <v>1</v>
      </c>
      <c r="M678" t="b">
        <v>0</v>
      </c>
      <c r="N678" t="inlineStr">
        <is>
          <t>alt</t>
        </is>
      </c>
      <c r="O678" t="n">
        <v>-95</v>
      </c>
      <c r="P678" t="n">
        <v>0.04272</v>
      </c>
      <c r="Q678" t="n">
        <v>65</v>
      </c>
      <c r="R678" t="n">
        <v>0.04773</v>
      </c>
      <c r="S678">
        <f>IMAGE("https://mitra.stanford.edu/kundaje/oak/projects/neuro-variants/variant_position/credible/roussos_2024/variant_figures/roussos_2024.infant.GLU/rs2155540_count_position.png",4,220,900)</f>
        <v/>
      </c>
      <c r="T678">
        <f>IMAGE("https://mitra.stanford.edu/kundaje/oak/projects/neuro-variants/variant_position/credible/roussos_2024/variant_figures/roussos_2024.infant.GLU/rs2155540_profile_position.png",4,220,900)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-0.05118109</v>
      </c>
      <c r="G679" t="n">
        <v>0.1717764449842403</v>
      </c>
      <c r="H679" t="n">
        <v>0.0280335136341792</v>
      </c>
      <c r="I679" t="n">
        <v>0.0715705049546001</v>
      </c>
      <c r="J679" t="n">
        <v>0.0551709693776317</v>
      </c>
      <c r="K679" t="n">
        <v>0.3199184014968131</v>
      </c>
      <c r="L679" t="b">
        <v>0</v>
      </c>
      <c r="M679" t="b">
        <v>0</v>
      </c>
      <c r="N679" t="inlineStr">
        <is>
          <t>ref</t>
        </is>
      </c>
      <c r="O679" t="n">
        <v>10</v>
      </c>
      <c r="P679" t="n">
        <v>0.004456</v>
      </c>
      <c r="Q679" t="n">
        <v>60</v>
      </c>
      <c r="R679" t="n">
        <v>0.07920000000000001</v>
      </c>
      <c r="S679">
        <f>IMAGE("https://mitra.stanford.edu/kundaje/oak/projects/neuro-variants/variant_position/credible/roussos_2024/variant_figures/roussos_2024.infant.GLU/rs4937706_count_position.png",4,220,900)</f>
        <v/>
      </c>
      <c r="T679">
        <f>IMAGE("https://mitra.stanford.edu/kundaje/oak/projects/neuro-variants/variant_position/credible/roussos_2024/variant_figures/roussos_2024.infant.GLU/rs4937706_profile_position.png",4,220,900)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0.5213739079999999</v>
      </c>
      <c r="G680" t="n">
        <v>0.0003577831187024</v>
      </c>
      <c r="H680" t="n">
        <v>0.0564750528962265</v>
      </c>
      <c r="I680" t="n">
        <v>0.0047656674206324</v>
      </c>
      <c r="J680" t="n">
        <v>0.3164333428867479</v>
      </c>
      <c r="K680" t="n">
        <v>0.06373431927152511</v>
      </c>
      <c r="L680" t="b">
        <v>1</v>
      </c>
      <c r="M680" t="b">
        <v>1</v>
      </c>
      <c r="N680" t="inlineStr">
        <is>
          <t>alt</t>
        </is>
      </c>
      <c r="O680" t="n">
        <v>35</v>
      </c>
      <c r="P680" t="n">
        <v>0.01514</v>
      </c>
      <c r="Q680" t="n">
        <v>-55</v>
      </c>
      <c r="R680" t="n">
        <v>0.1045</v>
      </c>
      <c r="S680">
        <f>IMAGE("https://mitra.stanford.edu/kundaje/oak/projects/neuro-variants/variant_position/credible/roussos_2024/variant_figures/roussos_2024.infant.GLU/rs4310627_count_position.png",4,220,900)</f>
        <v/>
      </c>
      <c r="T680">
        <f>IMAGE("https://mitra.stanford.edu/kundaje/oak/projects/neuro-variants/variant_position/credible/roussos_2024/variant_figures/roussos_2024.infant.GLU/rs4310627_profile_position.png",4,220,900)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0.01767249328</v>
      </c>
      <c r="G681" t="n">
        <v>0.4778447295037896</v>
      </c>
      <c r="H681" t="n">
        <v>0.0372409542325089</v>
      </c>
      <c r="I681" t="n">
        <v>0.026690041455314</v>
      </c>
      <c r="J681" t="n">
        <v>0.0290074737097378</v>
      </c>
      <c r="K681" t="n">
        <v>0.4588097665253992</v>
      </c>
      <c r="L681" t="b">
        <v>0</v>
      </c>
      <c r="M681" t="b">
        <v>0</v>
      </c>
      <c r="N681" t="inlineStr">
        <is>
          <t>alt</t>
        </is>
      </c>
      <c r="O681" t="n">
        <v>0</v>
      </c>
      <c r="P681" t="n">
        <v>0</v>
      </c>
      <c r="Q681" t="n">
        <v>60</v>
      </c>
      <c r="R681" t="n">
        <v>0.02916</v>
      </c>
      <c r="S681">
        <f>IMAGE("https://mitra.stanford.edu/kundaje/oak/projects/neuro-variants/variant_position/credible/roussos_2024/variant_figures/roussos_2024.infant.GLU/rs1939971_count_position.png",4,220,900)</f>
        <v/>
      </c>
      <c r="T681">
        <f>IMAGE("https://mitra.stanford.edu/kundaje/oak/projects/neuro-variants/variant_position/credible/roussos_2024/variant_figures/roussos_2024.infant.GLU/rs1939971_profile_position.png",4,220,900)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-0.0619381471999999</v>
      </c>
      <c r="G682" t="n">
        <v>0.1229881363713442</v>
      </c>
      <c r="H682" t="n">
        <v>0.0394476378178245</v>
      </c>
      <c r="I682" t="n">
        <v>0.0213633617080101</v>
      </c>
      <c r="J682" t="n">
        <v>0.0253510879869484</v>
      </c>
      <c r="K682" t="n">
        <v>0.4860206644137549</v>
      </c>
      <c r="L682" t="b">
        <v>0</v>
      </c>
      <c r="M682" t="b">
        <v>0</v>
      </c>
      <c r="N682" t="inlineStr">
        <is>
          <t>ref</t>
        </is>
      </c>
      <c r="O682" t="n">
        <v>-10</v>
      </c>
      <c r="P682" t="n">
        <v>0.003746</v>
      </c>
      <c r="Q682" t="n">
        <v>50</v>
      </c>
      <c r="R682" t="n">
        <v>0.01494</v>
      </c>
      <c r="S682">
        <f>IMAGE("https://mitra.stanford.edu/kundaje/oak/projects/neuro-variants/variant_position/credible/roussos_2024/variant_figures/roussos_2024.infant.GLU/rs1939970_count_position.png",4,220,900)</f>
        <v/>
      </c>
      <c r="T682">
        <f>IMAGE("https://mitra.stanford.edu/kundaje/oak/projects/neuro-variants/variant_position/credible/roussos_2024/variant_figures/roussos_2024.infant.GLU/rs1939970_profile_position.png",4,220,900)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-0.0357792766</v>
      </c>
      <c r="G683" t="n">
        <v>0.276769838756007</v>
      </c>
      <c r="H683" t="n">
        <v>0.008798816806714601</v>
      </c>
      <c r="I683" t="n">
        <v>0.8447900746922403</v>
      </c>
      <c r="J683" t="n">
        <v>0.5540091271853436</v>
      </c>
      <c r="K683" t="n">
        <v>0.0251177122258477</v>
      </c>
      <c r="L683" t="b">
        <v>0</v>
      </c>
      <c r="M683" t="b">
        <v>0</v>
      </c>
      <c r="N683" t="inlineStr">
        <is>
          <t>ref</t>
        </is>
      </c>
      <c r="O683" t="n">
        <v>-60</v>
      </c>
      <c r="P683" t="n">
        <v>0.00842</v>
      </c>
      <c r="Q683" t="n">
        <v>15</v>
      </c>
      <c r="R683" t="n">
        <v>0.01005</v>
      </c>
      <c r="S683">
        <f>IMAGE("https://mitra.stanford.edu/kundaje/oak/projects/neuro-variants/variant_position/credible/roussos_2024/variant_figures/roussos_2024.infant.GLU/rs644487_count_position.png",4,220,900)</f>
        <v/>
      </c>
      <c r="T683">
        <f>IMAGE("https://mitra.stanford.edu/kundaje/oak/projects/neuro-variants/variant_position/credible/roussos_2024/variant_figures/roussos_2024.infant.GLU/rs644487_profile_position.png",4,220,900)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-0.00321789344</v>
      </c>
      <c r="G684" t="n">
        <v>0.7527747073828821</v>
      </c>
      <c r="H684" t="n">
        <v>0.0097351799791748</v>
      </c>
      <c r="I684" t="n">
        <v>0.7554909004746878</v>
      </c>
      <c r="J684" t="n">
        <v>0.5478317423223616</v>
      </c>
      <c r="K684" t="n">
        <v>0.0256726535982729</v>
      </c>
      <c r="L684" t="b">
        <v>0</v>
      </c>
      <c r="M684" t="b">
        <v>0</v>
      </c>
      <c r="N684" t="inlineStr">
        <is>
          <t>ref</t>
        </is>
      </c>
      <c r="O684" t="n">
        <v>-75</v>
      </c>
      <c r="P684" t="n">
        <v>0.01582</v>
      </c>
      <c r="Q684" t="n">
        <v>5</v>
      </c>
      <c r="R684" t="n">
        <v>0.0002747</v>
      </c>
      <c r="S684">
        <f>IMAGE("https://mitra.stanford.edu/kundaje/oak/projects/neuro-variants/variant_position/credible/roussos_2024/variant_figures/roussos_2024.infant.GLU/rs644475_count_position.png",4,220,900)</f>
        <v/>
      </c>
      <c r="T684">
        <f>IMAGE("https://mitra.stanford.edu/kundaje/oak/projects/neuro-variants/variant_position/credible/roussos_2024/variant_figures/roussos_2024.infant.GLU/rs644475_profile_position.png",4,220,900)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0.119028174</v>
      </c>
      <c r="G685" t="n">
        <v>0.0366929580124285</v>
      </c>
      <c r="H685" t="n">
        <v>0.0212266319727363</v>
      </c>
      <c r="I685" t="n">
        <v>0.1570767119714492</v>
      </c>
      <c r="J685" t="n">
        <v>0.4143168941114221</v>
      </c>
      <c r="K685" t="n">
        <v>0.042447043655664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0.06569999999999999</v>
      </c>
      <c r="Q685" t="n">
        <v>30</v>
      </c>
      <c r="R685" t="n">
        <v>0.1538</v>
      </c>
      <c r="S685">
        <f>IMAGE("https://mitra.stanford.edu/kundaje/oak/projects/neuro-variants/variant_position/credible/roussos_2024/variant_figures/roussos_2024.infant.GLU/rs654125_count_position.png",4,220,900)</f>
        <v/>
      </c>
      <c r="T685">
        <f>IMAGE("https://mitra.stanford.edu/kundaje/oak/projects/neuro-variants/variant_position/credible/roussos_2024/variant_figures/roussos_2024.infant.GLU/rs654125_profile_position.png",4,220,900)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0.0235763386</v>
      </c>
      <c r="G686" t="n">
        <v>0.1934933748194736</v>
      </c>
      <c r="H686" t="n">
        <v>0.0142145523499171</v>
      </c>
      <c r="I686" t="n">
        <v>0.4110385893440822</v>
      </c>
      <c r="J686" t="n">
        <v>0.1494775017085914</v>
      </c>
      <c r="K686" t="n">
        <v>0.1434522277844443</v>
      </c>
      <c r="L686" t="b">
        <v>0</v>
      </c>
      <c r="M686" t="b">
        <v>0</v>
      </c>
      <c r="N686" t="inlineStr">
        <is>
          <t>alt</t>
        </is>
      </c>
      <c r="O686" t="n">
        <v>-100</v>
      </c>
      <c r="P686" t="n">
        <v>0.0954</v>
      </c>
      <c r="Q686" t="n">
        <v>-100</v>
      </c>
      <c r="R686" t="n">
        <v>0.25</v>
      </c>
      <c r="S686">
        <f>IMAGE("https://mitra.stanford.edu/kundaje/oak/projects/neuro-variants/variant_position/credible/roussos_2024/variant_figures/roussos_2024.infant.GLU/rs10894572_count_position.png",4,220,900)</f>
        <v/>
      </c>
      <c r="T686">
        <f>IMAGE("https://mitra.stanford.edu/kundaje/oak/projects/neuro-variants/variant_position/credible/roussos_2024/variant_figures/roussos_2024.infant.GLU/rs10894572_profile_position.png",4,220,900)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-0.06918468699999999</v>
      </c>
      <c r="G687" t="n">
        <v>0.1073186967959469</v>
      </c>
      <c r="H687" t="n">
        <v>0.0268893485635985</v>
      </c>
      <c r="I687" t="n">
        <v>0.08190428455742139</v>
      </c>
      <c r="J687" t="n">
        <v>0.0089133358319186</v>
      </c>
      <c r="K687" t="n">
        <v>0.6998521122197051</v>
      </c>
      <c r="L687" t="b">
        <v>0</v>
      </c>
      <c r="M687" t="b">
        <v>0</v>
      </c>
      <c r="N687" t="inlineStr">
        <is>
          <t>ref</t>
        </is>
      </c>
      <c r="O687" t="n">
        <v>-50</v>
      </c>
      <c r="P687" t="n">
        <v>0.007979999999999999</v>
      </c>
      <c r="Q687" t="n">
        <v>-50</v>
      </c>
      <c r="R687" t="n">
        <v>0.0299</v>
      </c>
      <c r="S687">
        <f>IMAGE("https://mitra.stanford.edu/kundaje/oak/projects/neuro-variants/variant_position/credible/roussos_2024/variant_figures/roussos_2024.infant.GLU/rs639254_count_position.png",4,220,900)</f>
        <v/>
      </c>
      <c r="T687">
        <f>IMAGE("https://mitra.stanford.edu/kundaje/oak/projects/neuro-variants/variant_position/credible/roussos_2024/variant_figures/roussos_2024.infant.GLU/rs639254_profile_position.png",4,220,900)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0.002123833</v>
      </c>
      <c r="G688" t="n">
        <v>0.5767880894549021</v>
      </c>
      <c r="H688" t="n">
        <v>0.009164614998265</v>
      </c>
      <c r="I688" t="n">
        <v>0.8119024527651122</v>
      </c>
      <c r="J688" t="n">
        <v>0.0026301285301703</v>
      </c>
      <c r="K688" t="n">
        <v>0.8414447252362519</v>
      </c>
      <c r="L688" t="b">
        <v>0</v>
      </c>
      <c r="M688" t="b">
        <v>0</v>
      </c>
      <c r="N688" t="inlineStr">
        <is>
          <t>alt</t>
        </is>
      </c>
      <c r="O688" t="n">
        <v>-100</v>
      </c>
      <c r="P688" t="n">
        <v>0.4265</v>
      </c>
      <c r="Q688" t="n">
        <v>-75</v>
      </c>
      <c r="R688" t="n">
        <v>0.0518</v>
      </c>
      <c r="S688">
        <f>IMAGE("https://mitra.stanford.edu/kundaje/oak/projects/neuro-variants/variant_position/credible/roussos_2024/variant_figures/roussos_2024.infant.GLU/rs2508976_count_position.png",4,220,900)</f>
        <v/>
      </c>
      <c r="T688">
        <f>IMAGE("https://mitra.stanford.edu/kundaje/oak/projects/neuro-variants/variant_position/credible/roussos_2024/variant_figures/roussos_2024.infant.GLU/rs2508976_profile_position.png",4,220,900)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-0.162160294</v>
      </c>
      <c r="G689" t="n">
        <v>0.017390632664939</v>
      </c>
      <c r="H689" t="n">
        <v>0.0409881950401402</v>
      </c>
      <c r="I689" t="n">
        <v>0.0184741870126976</v>
      </c>
      <c r="J689" t="n">
        <v>0.0296887056592957</v>
      </c>
      <c r="K689" t="n">
        <v>0.4591656696820833</v>
      </c>
      <c r="L689" t="b">
        <v>1</v>
      </c>
      <c r="M689" t="b">
        <v>0</v>
      </c>
      <c r="N689" t="inlineStr">
        <is>
          <t>ref</t>
        </is>
      </c>
      <c r="O689" t="n">
        <v>100</v>
      </c>
      <c r="P689" t="n">
        <v>0.001373</v>
      </c>
      <c r="Q689" t="n">
        <v>-90</v>
      </c>
      <c r="R689" t="n">
        <v>0.0537</v>
      </c>
      <c r="S689">
        <f>IMAGE("https://mitra.stanford.edu/kundaje/oak/projects/neuro-variants/variant_position/credible/roussos_2024/variant_figures/roussos_2024.infant.GLU/rs2509229_count_position.png",4,220,900)</f>
        <v/>
      </c>
      <c r="T689">
        <f>IMAGE("https://mitra.stanford.edu/kundaje/oak/projects/neuro-variants/variant_position/credible/roussos_2024/variant_figures/roussos_2024.infant.GLU/rs2509229_profile_position.png",4,220,900)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0.0200836142</v>
      </c>
      <c r="G690" t="n">
        <v>0.4350256782503495</v>
      </c>
      <c r="H690" t="n">
        <v>0.0268253834316498</v>
      </c>
      <c r="I690" t="n">
        <v>0.08140708713131729</v>
      </c>
      <c r="J690" t="n">
        <v>0.3680317026389471</v>
      </c>
      <c r="K690" t="n">
        <v>0.0512169881260934</v>
      </c>
      <c r="L690" t="b">
        <v>0</v>
      </c>
      <c r="M690" t="b">
        <v>0</v>
      </c>
      <c r="N690" t="inlineStr">
        <is>
          <t>alt</t>
        </is>
      </c>
      <c r="O690" t="n">
        <v>65</v>
      </c>
      <c r="P690" t="n">
        <v>0.08716</v>
      </c>
      <c r="Q690" t="n">
        <v>15</v>
      </c>
      <c r="R690" t="n">
        <v>0.2705</v>
      </c>
      <c r="S690">
        <f>IMAGE("https://mitra.stanford.edu/kundaje/oak/projects/neuro-variants/variant_position/credible/roussos_2024/variant_figures/roussos_2024.infant.GLU/rs2509228_count_position.png",4,220,900)</f>
        <v/>
      </c>
      <c r="T690">
        <f>IMAGE("https://mitra.stanford.edu/kundaje/oak/projects/neuro-variants/variant_position/credible/roussos_2024/variant_figures/roussos_2024.infant.GLU/rs2509228_profile_position.png",4,220,900)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0.0465132891999999</v>
      </c>
      <c r="G691" t="n">
        <v>0.17934426309529</v>
      </c>
      <c r="H691" t="n">
        <v>0.0167239733165939</v>
      </c>
      <c r="I691" t="n">
        <v>0.2858411641860147</v>
      </c>
      <c r="J691" t="n">
        <v>0.012718534359223</v>
      </c>
      <c r="K691" t="n">
        <v>0.6432079112628255</v>
      </c>
      <c r="L691" t="b">
        <v>0</v>
      </c>
      <c r="M691" t="b">
        <v>0</v>
      </c>
      <c r="N691" t="inlineStr">
        <is>
          <t>alt</t>
        </is>
      </c>
      <c r="O691" t="n">
        <v>-50</v>
      </c>
      <c r="P691" t="n">
        <v>0.0165</v>
      </c>
      <c r="Q691" t="n">
        <v>5</v>
      </c>
      <c r="R691" t="n">
        <v>0.026</v>
      </c>
      <c r="S691">
        <f>IMAGE("https://mitra.stanford.edu/kundaje/oak/projects/neuro-variants/variant_position/credible/roussos_2024/variant_figures/roussos_2024.infant.GLU/rs2512706_count_position.png",4,220,900)</f>
        <v/>
      </c>
      <c r="T691">
        <f>IMAGE("https://mitra.stanford.edu/kundaje/oak/projects/neuro-variants/variant_position/credible/roussos_2024/variant_figures/roussos_2024.infant.GLU/rs2512706_profile_position.png",4,220,900)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-0.1123473316</v>
      </c>
      <c r="G692" t="n">
        <v>0.0460699618041019</v>
      </c>
      <c r="H692" t="n">
        <v>0.0214263281776434</v>
      </c>
      <c r="I692" t="n">
        <v>0.1647030385698569</v>
      </c>
      <c r="J692" t="n">
        <v>0.0401287506338322</v>
      </c>
      <c r="K692" t="n">
        <v>0.3866003141645114</v>
      </c>
      <c r="L692" t="b">
        <v>0</v>
      </c>
      <c r="M692" t="b">
        <v>0</v>
      </c>
      <c r="N692" t="inlineStr">
        <is>
          <t>ref</t>
        </is>
      </c>
      <c r="O692" t="n">
        <v>-100</v>
      </c>
      <c r="P692" t="n">
        <v>0.03192</v>
      </c>
      <c r="Q692" t="n">
        <v>95</v>
      </c>
      <c r="R692" t="n">
        <v>0.1917</v>
      </c>
      <c r="S692">
        <f>IMAGE("https://mitra.stanford.edu/kundaje/oak/projects/neuro-variants/variant_position/credible/roussos_2024/variant_figures/roussos_2024.infant.GLU/rs55945016_count_position.png",4,220,900)</f>
        <v/>
      </c>
      <c r="T692">
        <f>IMAGE("https://mitra.stanford.edu/kundaje/oak/projects/neuro-variants/variant_position/credible/roussos_2024/variant_figures/roussos_2024.infant.GLU/rs55945016_profile_position.png",4,220,900)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0.03062070078</v>
      </c>
      <c r="G693" t="n">
        <v>0.316291360349864</v>
      </c>
      <c r="H693" t="n">
        <v>0.0129071244423647</v>
      </c>
      <c r="I693" t="n">
        <v>0.4894181539817082</v>
      </c>
      <c r="J693" t="n">
        <v>0.0116603099715601</v>
      </c>
      <c r="K693" t="n">
        <v>0.6729345375543746</v>
      </c>
      <c r="L693" t="b">
        <v>0</v>
      </c>
      <c r="M693" t="b">
        <v>0</v>
      </c>
      <c r="N693" t="inlineStr">
        <is>
          <t>alt</t>
        </is>
      </c>
      <c r="O693" t="n">
        <v>60</v>
      </c>
      <c r="P693" t="n">
        <v>0.01752</v>
      </c>
      <c r="Q693" t="n">
        <v>-100</v>
      </c>
      <c r="R693" t="n">
        <v>0.04205</v>
      </c>
      <c r="S693">
        <f>IMAGE("https://mitra.stanford.edu/kundaje/oak/projects/neuro-variants/variant_position/credible/roussos_2024/variant_figures/roussos_2024.infant.GLU/rs73035374_count_position.png",4,220,900)</f>
        <v/>
      </c>
      <c r="T693">
        <f>IMAGE("https://mitra.stanford.edu/kundaje/oak/projects/neuro-variants/variant_position/credible/roussos_2024/variant_figures/roussos_2024.infant.GLU/rs73035374_profile_position.png",4,220,900)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0.0523721834</v>
      </c>
      <c r="G694" t="n">
        <v>0.1660595345343488</v>
      </c>
      <c r="H694" t="n">
        <v>0.0447792796114091</v>
      </c>
      <c r="I694" t="n">
        <v>0.0126695929622631</v>
      </c>
      <c r="J694" t="n">
        <v>0.0971185431777596</v>
      </c>
      <c r="K694" t="n">
        <v>0.2134037905236755</v>
      </c>
      <c r="L694" t="b">
        <v>1</v>
      </c>
      <c r="M694" t="b">
        <v>0</v>
      </c>
      <c r="N694" t="inlineStr">
        <is>
          <t>alt</t>
        </is>
      </c>
      <c r="O694" t="n">
        <v>-25</v>
      </c>
      <c r="P694" t="n">
        <v>0.013855</v>
      </c>
      <c r="Q694" t="n">
        <v>-5</v>
      </c>
      <c r="R694" t="n">
        <v>0.03516</v>
      </c>
      <c r="S694">
        <f>IMAGE("https://mitra.stanford.edu/kundaje/oak/projects/neuro-variants/variant_position/credible/roussos_2024/variant_figures/roussos_2024.infant.GLU/rs6590647_count_position.png",4,220,900)</f>
        <v/>
      </c>
      <c r="T694">
        <f>IMAGE("https://mitra.stanford.edu/kundaje/oak/projects/neuro-variants/variant_position/credible/roussos_2024/variant_figures/roussos_2024.infant.GLU/rs6590647_profile_position.png",4,220,900)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0.0401904967999999</v>
      </c>
      <c r="G695" t="n">
        <v>0.2098534602374157</v>
      </c>
      <c r="H695" t="n">
        <v>0.0228005848135363</v>
      </c>
      <c r="I695" t="n">
        <v>0.1319277149569334</v>
      </c>
      <c r="J695" t="n">
        <v>0.1030445997486716</v>
      </c>
      <c r="K695" t="n">
        <v>0.2018826977833255</v>
      </c>
      <c r="L695" t="b">
        <v>0</v>
      </c>
      <c r="M695" t="b">
        <v>0</v>
      </c>
      <c r="N695" t="inlineStr">
        <is>
          <t>alt</t>
        </is>
      </c>
      <c r="O695" t="n">
        <v>-90</v>
      </c>
      <c r="P695" t="n">
        <v>0.009429999999999999</v>
      </c>
      <c r="Q695" t="n">
        <v>80</v>
      </c>
      <c r="R695" t="n">
        <v>0.148</v>
      </c>
      <c r="S695">
        <f>IMAGE("https://mitra.stanford.edu/kundaje/oak/projects/neuro-variants/variant_position/credible/roussos_2024/variant_figures/roussos_2024.infant.GLU/rs3862599_count_position.png",4,220,900)</f>
        <v/>
      </c>
      <c r="T695">
        <f>IMAGE("https://mitra.stanford.edu/kundaje/oak/projects/neuro-variants/variant_position/credible/roussos_2024/variant_figures/roussos_2024.infant.GLU/rs3862599_profile_position.png",4,220,900)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0.0425873828</v>
      </c>
      <c r="G696" t="n">
        <v>0.2033507179505646</v>
      </c>
      <c r="H696" t="n">
        <v>0.0409860318871968</v>
      </c>
      <c r="I696" t="n">
        <v>0.0182506633521932</v>
      </c>
      <c r="J696" t="n">
        <v>0.1274245463965254</v>
      </c>
      <c r="K696" t="n">
        <v>0.1666334346795806</v>
      </c>
      <c r="L696" t="b">
        <v>1</v>
      </c>
      <c r="M696" t="b">
        <v>0</v>
      </c>
      <c r="N696" t="inlineStr">
        <is>
          <t>alt</t>
        </is>
      </c>
      <c r="O696" t="n">
        <v>-45</v>
      </c>
      <c r="P696" t="n">
        <v>0.006943</v>
      </c>
      <c r="Q696" t="n">
        <v>-80</v>
      </c>
      <c r="R696" t="n">
        <v>0.07153</v>
      </c>
      <c r="S696">
        <f>IMAGE("https://mitra.stanford.edu/kundaje/oak/projects/neuro-variants/variant_position/credible/roussos_2024/variant_figures/roussos_2024.infant.GLU/rs3018396_count_position.png",4,220,900)</f>
        <v/>
      </c>
      <c r="T696">
        <f>IMAGE("https://mitra.stanford.edu/kundaje/oak/projects/neuro-variants/variant_position/credible/roussos_2024/variant_figures/roussos_2024.infant.GLU/rs3018396_profile_position.png",4,220,900)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0.0189132415</v>
      </c>
      <c r="G697" t="n">
        <v>0.4616158156392394</v>
      </c>
      <c r="H697" t="n">
        <v>0.009448868031570599</v>
      </c>
      <c r="I697" t="n">
        <v>0.7739406511920855</v>
      </c>
      <c r="J697" t="n">
        <v>0.0104444542428183</v>
      </c>
      <c r="K697" t="n">
        <v>0.6552158352167821</v>
      </c>
      <c r="L697" t="b">
        <v>0</v>
      </c>
      <c r="M697" t="b">
        <v>0</v>
      </c>
      <c r="N697" t="inlineStr">
        <is>
          <t>alt</t>
        </is>
      </c>
      <c r="O697" t="n">
        <v>-100</v>
      </c>
      <c r="P697" t="n">
        <v>0.05255</v>
      </c>
      <c r="Q697" t="n">
        <v>-100</v>
      </c>
      <c r="R697" t="n">
        <v>0.03326</v>
      </c>
      <c r="S697">
        <f>IMAGE("https://mitra.stanford.edu/kundaje/oak/projects/neuro-variants/variant_position/credible/roussos_2024/variant_figures/roussos_2024.infant.GLU/rs1940148_count_position.png",4,220,900)</f>
        <v/>
      </c>
      <c r="T697">
        <f>IMAGE("https://mitra.stanford.edu/kundaje/oak/projects/neuro-variants/variant_position/credible/roussos_2024/variant_figures/roussos_2024.infant.GLU/rs1940148_profile_position.png",4,220,900)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0.049403945</v>
      </c>
      <c r="G698" t="n">
        <v>0.1724471703459818</v>
      </c>
      <c r="H698" t="n">
        <v>0.0125927432869543</v>
      </c>
      <c r="I698" t="n">
        <v>0.5131010318256632</v>
      </c>
      <c r="J698" t="n">
        <v>0.0189918208073369</v>
      </c>
      <c r="K698" t="n">
        <v>0.5542004425259681</v>
      </c>
      <c r="L698" t="b">
        <v>0</v>
      </c>
      <c r="M698" t="b">
        <v>0</v>
      </c>
      <c r="N698" t="inlineStr">
        <is>
          <t>alt</t>
        </is>
      </c>
      <c r="O698" t="n">
        <v>85</v>
      </c>
      <c r="P698" t="n">
        <v>0.02621</v>
      </c>
      <c r="Q698" t="n">
        <v>95</v>
      </c>
      <c r="R698" t="n">
        <v>0.0694</v>
      </c>
      <c r="S698">
        <f>IMAGE("https://mitra.stanford.edu/kundaje/oak/projects/neuro-variants/variant_position/credible/roussos_2024/variant_figures/roussos_2024.infant.GLU/rs1939515_count_position.png",4,220,900)</f>
        <v/>
      </c>
      <c r="T698">
        <f>IMAGE("https://mitra.stanford.edu/kundaje/oak/projects/neuro-variants/variant_position/credible/roussos_2024/variant_figures/roussos_2024.infant.GLU/rs1939515_profile_position.png",4,220,900)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0.0387031679999999</v>
      </c>
      <c r="G699" t="n">
        <v>0.2328231278685151</v>
      </c>
      <c r="H699" t="n">
        <v>0.0192701669290159</v>
      </c>
      <c r="I699" t="n">
        <v>0.2026480513953154</v>
      </c>
      <c r="J699" t="n">
        <v>0.0734010890892656</v>
      </c>
      <c r="K699" t="n">
        <v>0.2856040964293423</v>
      </c>
      <c r="L699" t="b">
        <v>0</v>
      </c>
      <c r="M699" t="b">
        <v>0</v>
      </c>
      <c r="N699" t="inlineStr">
        <is>
          <t>alt</t>
        </is>
      </c>
      <c r="O699" t="n">
        <v>-35</v>
      </c>
      <c r="P699" t="n">
        <v>0.004837</v>
      </c>
      <c r="Q699" t="n">
        <v>10</v>
      </c>
      <c r="R699" t="n">
        <v>0.0232</v>
      </c>
      <c r="S699">
        <f>IMAGE("https://mitra.stanford.edu/kundaje/oak/projects/neuro-variants/variant_position/credible/roussos_2024/variant_figures/roussos_2024.infant.GLU/rs7946883_count_position.png",4,220,900)</f>
        <v/>
      </c>
      <c r="T699">
        <f>IMAGE("https://mitra.stanford.edu/kundaje/oak/projects/neuro-variants/variant_position/credible/roussos_2024/variant_figures/roussos_2024.infant.GLU/rs7946883_profile_position.png",4,220,900)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0.0056911198592</v>
      </c>
      <c r="G700" t="n">
        <v>0.7632385304015817</v>
      </c>
      <c r="H700" t="n">
        <v>0.0121654504189151</v>
      </c>
      <c r="I700" t="n">
        <v>0.5476605046204746</v>
      </c>
      <c r="J700" t="n">
        <v>0.8017096937763177</v>
      </c>
      <c r="K700" t="n">
        <v>0.0081508630883268</v>
      </c>
      <c r="L700" t="b">
        <v>0</v>
      </c>
      <c r="M700" t="b">
        <v>0</v>
      </c>
      <c r="N700" t="inlineStr">
        <is>
          <t>alt</t>
        </is>
      </c>
      <c r="O700" t="n">
        <v>-95</v>
      </c>
      <c r="P700" t="n">
        <v>0.01198</v>
      </c>
      <c r="Q700" t="n">
        <v>-85</v>
      </c>
      <c r="R700" t="n">
        <v>0.1273</v>
      </c>
      <c r="S700">
        <f>IMAGE("https://mitra.stanford.edu/kundaje/oak/projects/neuro-variants/variant_position/credible/roussos_2024/variant_figures/roussos_2024.infant.GLU/rs118031494_count_position.png",4,220,900)</f>
        <v/>
      </c>
      <c r="T700">
        <f>IMAGE("https://mitra.stanford.edu/kundaje/oak/projects/neuro-variants/variant_position/credible/roussos_2024/variant_figures/roussos_2024.infant.GLU/rs118031494_profile_position.png",4,220,900)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-0.12685589</v>
      </c>
      <c r="G701" t="n">
        <v>0.0320888892705671</v>
      </c>
      <c r="H701" t="n">
        <v>0.0203181080180068</v>
      </c>
      <c r="I701" t="n">
        <v>0.1797690809194027</v>
      </c>
      <c r="J701" t="n">
        <v>0.1613450472894023</v>
      </c>
      <c r="K701" t="n">
        <v>0.1476205118601957</v>
      </c>
      <c r="L701" t="b">
        <v>0</v>
      </c>
      <c r="M701" t="b">
        <v>0</v>
      </c>
      <c r="N701" t="inlineStr">
        <is>
          <t>ref</t>
        </is>
      </c>
      <c r="O701" t="n">
        <v>-35</v>
      </c>
      <c r="P701" t="n">
        <v>0.001297</v>
      </c>
      <c r="Q701" t="n">
        <v>-35</v>
      </c>
      <c r="R701" t="n">
        <v>0.09106</v>
      </c>
      <c r="S701">
        <f>IMAGE("https://mitra.stanford.edu/kundaje/oak/projects/neuro-variants/variant_position/credible/roussos_2024/variant_figures/roussos_2024.infant.GLU/rs73034295_count_position.png",4,220,900)</f>
        <v/>
      </c>
      <c r="T701">
        <f>IMAGE("https://mitra.stanford.edu/kundaje/oak/projects/neuro-variants/variant_position/credible/roussos_2024/variant_figures/roussos_2024.infant.GLU/rs73034295_profile_position.png",4,220,900)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0.0459129801999999</v>
      </c>
      <c r="G702" t="n">
        <v>0.1875272496815818</v>
      </c>
      <c r="H702" t="n">
        <v>0.0193285343879329</v>
      </c>
      <c r="I702" t="n">
        <v>0.2007521581718608</v>
      </c>
      <c r="J702" t="n">
        <v>0.0819451487025727</v>
      </c>
      <c r="K702" t="n">
        <v>0.2525061104737727</v>
      </c>
      <c r="L702" t="b">
        <v>0</v>
      </c>
      <c r="M702" t="b">
        <v>0</v>
      </c>
      <c r="N702" t="inlineStr">
        <is>
          <t>alt</t>
        </is>
      </c>
      <c r="O702" t="n">
        <v>35</v>
      </c>
      <c r="P702" t="n">
        <v>0.001907</v>
      </c>
      <c r="Q702" t="n">
        <v>-20</v>
      </c>
      <c r="R702" t="n">
        <v>0.00598</v>
      </c>
      <c r="S702">
        <f>IMAGE("https://mitra.stanford.edu/kundaje/oak/projects/neuro-variants/variant_position/credible/roussos_2024/variant_figures/roussos_2024.infant.GLU/rs73036081_count_position.png",4,220,900)</f>
        <v/>
      </c>
      <c r="T702">
        <f>IMAGE("https://mitra.stanford.edu/kundaje/oak/projects/neuro-variants/variant_position/credible/roussos_2024/variant_figures/roussos_2024.infant.GLU/rs73036081_profile_position.png",4,220,900)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0.299871908</v>
      </c>
      <c r="G703" t="n">
        <v>0.0032358718591359</v>
      </c>
      <c r="H703" t="n">
        <v>0.0602907073254575</v>
      </c>
      <c r="I703" t="n">
        <v>0.0032415608573761</v>
      </c>
      <c r="J703" t="n">
        <v>0.4569401882757556</v>
      </c>
      <c r="K703" t="n">
        <v>0.0364533278785257</v>
      </c>
      <c r="L703" t="b">
        <v>1</v>
      </c>
      <c r="M703" t="b">
        <v>1</v>
      </c>
      <c r="N703" t="inlineStr">
        <is>
          <t>alt</t>
        </is>
      </c>
      <c r="O703" t="n">
        <v>55</v>
      </c>
      <c r="P703" t="n">
        <v>0.00842</v>
      </c>
      <c r="Q703" t="n">
        <v>-10</v>
      </c>
      <c r="R703" t="n">
        <v>0.002686</v>
      </c>
      <c r="S703">
        <f>IMAGE("https://mitra.stanford.edu/kundaje/oak/projects/neuro-variants/variant_position/credible/roussos_2024/variant_figures/roussos_2024.infant.GLU/rs11223655_count_position.png",4,220,900)</f>
        <v/>
      </c>
      <c r="T703">
        <f>IMAGE("https://mitra.stanford.edu/kundaje/oak/projects/neuro-variants/variant_position/credible/roussos_2024/variant_figures/roussos_2024.infant.GLU/rs11223655_profile_position.png",4,220,900)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-0.0646208363999999</v>
      </c>
      <c r="G704" t="n">
        <v>0.1173575837136398</v>
      </c>
      <c r="H704" t="n">
        <v>0.0161135606059811</v>
      </c>
      <c r="I704" t="n">
        <v>0.3069555324002181</v>
      </c>
      <c r="J704" t="n">
        <v>0.5740613770144843</v>
      </c>
      <c r="K704" t="n">
        <v>0.0233134892676653</v>
      </c>
      <c r="L704" t="b">
        <v>0</v>
      </c>
      <c r="M704" t="b">
        <v>0</v>
      </c>
      <c r="N704" t="inlineStr">
        <is>
          <t>ref</t>
        </is>
      </c>
      <c r="O704" t="n">
        <v>-10</v>
      </c>
      <c r="P704" t="n">
        <v>0.01517</v>
      </c>
      <c r="Q704" t="n">
        <v>-100</v>
      </c>
      <c r="R704" t="n">
        <v>0.2776</v>
      </c>
      <c r="S704">
        <f>IMAGE("https://mitra.stanford.edu/kundaje/oak/projects/neuro-variants/variant_position/credible/roussos_2024/variant_figures/roussos_2024.infant.GLU/rs4936216_count_position.png",4,220,900)</f>
        <v/>
      </c>
      <c r="T704">
        <f>IMAGE("https://mitra.stanford.edu/kundaje/oak/projects/neuro-variants/variant_position/credible/roussos_2024/variant_figures/roussos_2024.infant.GLU/rs4936216_profile_position.png",4,220,900)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-0.00599262412</v>
      </c>
      <c r="G705" t="n">
        <v>0.461588166633302</v>
      </c>
      <c r="H705" t="n">
        <v>0.0138933925518922</v>
      </c>
      <c r="I705" t="n">
        <v>0.4243348295004788</v>
      </c>
      <c r="J705" t="n">
        <v>0.7128364822857647</v>
      </c>
      <c r="K705" t="n">
        <v>0.0134577658228776</v>
      </c>
      <c r="L705" t="b">
        <v>0</v>
      </c>
      <c r="M705" t="b">
        <v>0</v>
      </c>
      <c r="N705" t="inlineStr">
        <is>
          <t>ref</t>
        </is>
      </c>
      <c r="O705" t="n">
        <v>25</v>
      </c>
      <c r="P705" t="n">
        <v>0.01477</v>
      </c>
      <c r="Q705" t="n">
        <v>50</v>
      </c>
      <c r="R705" t="n">
        <v>0.1348</v>
      </c>
      <c r="S705">
        <f>IMAGE("https://mitra.stanford.edu/kundaje/oak/projects/neuro-variants/variant_position/credible/roussos_2024/variant_figures/roussos_2024.infant.GLU/rs470536_count_position.png",4,220,900)</f>
        <v/>
      </c>
      <c r="T705">
        <f>IMAGE("https://mitra.stanford.edu/kundaje/oak/projects/neuro-variants/variant_position/credible/roussos_2024/variant_figures/roussos_2024.infant.GLU/rs470536_profile_position.png",4,220,900)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0.0425912714</v>
      </c>
      <c r="G706" t="n">
        <v>0.2038479883775734</v>
      </c>
      <c r="H706" t="n">
        <v>0.0562863973076767</v>
      </c>
      <c r="I706" t="n">
        <v>0.0042627269373146</v>
      </c>
      <c r="J706" t="n">
        <v>0.0056813421812649</v>
      </c>
      <c r="K706" t="n">
        <v>0.7332699657970073</v>
      </c>
      <c r="L706" t="b">
        <v>0</v>
      </c>
      <c r="M706" t="b">
        <v>0</v>
      </c>
      <c r="N706" t="inlineStr">
        <is>
          <t>alt</t>
        </is>
      </c>
      <c r="O706" t="n">
        <v>70</v>
      </c>
      <c r="P706" t="n">
        <v>0.01526</v>
      </c>
      <c r="Q706" t="n">
        <v>-30</v>
      </c>
      <c r="R706" t="n">
        <v>0.02446</v>
      </c>
      <c r="S706">
        <f>IMAGE("https://mitra.stanford.edu/kundaje/oak/projects/neuro-variants/variant_position/credible/roussos_2024/variant_figures/roussos_2024.infant.GLU/rs626717_count_position.png",4,220,900)</f>
        <v/>
      </c>
      <c r="T706">
        <f>IMAGE("https://mitra.stanford.edu/kundaje/oak/projects/neuro-variants/variant_position/credible/roussos_2024/variant_figures/roussos_2024.infant.GLU/rs626717_profile_position.png",4,220,900)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0.006325321092</v>
      </c>
      <c r="G707" t="n">
        <v>0.7562444009232032</v>
      </c>
      <c r="H707" t="n">
        <v>0.0100392811318228</v>
      </c>
      <c r="I707" t="n">
        <v>0.7265548919131684</v>
      </c>
      <c r="J707" t="n">
        <v>0.0122831191163825</v>
      </c>
      <c r="K707" t="n">
        <v>0.6243855978091493</v>
      </c>
      <c r="L707" t="b">
        <v>0</v>
      </c>
      <c r="M707" t="b">
        <v>0</v>
      </c>
      <c r="N707" t="inlineStr">
        <is>
          <t>alt</t>
        </is>
      </c>
      <c r="O707" t="n">
        <v>-30</v>
      </c>
      <c r="P707" t="n">
        <v>0.00653</v>
      </c>
      <c r="Q707" t="n">
        <v>-40</v>
      </c>
      <c r="R707" t="n">
        <v>0.01602</v>
      </c>
      <c r="S707">
        <f>IMAGE("https://mitra.stanford.edu/kundaje/oak/projects/neuro-variants/variant_position/credible/roussos_2024/variant_figures/roussos_2024.infant.GLU/rs470713_count_position.png",4,220,900)</f>
        <v/>
      </c>
      <c r="T707">
        <f>IMAGE("https://mitra.stanford.edu/kundaje/oak/projects/neuro-variants/variant_position/credible/roussos_2024/variant_figures/roussos_2024.infant.GLU/rs470713_profile_position.png",4,220,900)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0.01602404144</v>
      </c>
      <c r="G708" t="n">
        <v>0.5111324217816771</v>
      </c>
      <c r="H708" t="n">
        <v>0.0122270256994273</v>
      </c>
      <c r="I708" t="n">
        <v>0.5381104259677878</v>
      </c>
      <c r="J708" t="n">
        <v>0.3016082806058334</v>
      </c>
      <c r="K708" t="n">
        <v>0.0692555824936182</v>
      </c>
      <c r="L708" t="b">
        <v>0</v>
      </c>
      <c r="M708" t="b">
        <v>0</v>
      </c>
      <c r="N708" t="inlineStr">
        <is>
          <t>alt</t>
        </is>
      </c>
      <c r="O708" t="n">
        <v>100</v>
      </c>
      <c r="P708" t="n">
        <v>0.02393</v>
      </c>
      <c r="Q708" t="n">
        <v>65</v>
      </c>
      <c r="R708" t="n">
        <v>0.266</v>
      </c>
      <c r="S708">
        <f>IMAGE("https://mitra.stanford.edu/kundaje/oak/projects/neuro-variants/variant_position/credible/roussos_2024/variant_figures/roussos_2024.infant.GLU/rs10736610_count_position.png",4,220,900)</f>
        <v/>
      </c>
      <c r="T708">
        <f>IMAGE("https://mitra.stanford.edu/kundaje/oak/projects/neuro-variants/variant_position/credible/roussos_2024/variant_figures/roussos_2024.infant.GLU/rs10736610_profile_position.png",4,220,900)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0.0755963712</v>
      </c>
      <c r="G709" t="n">
        <v>0.0910365116782753</v>
      </c>
      <c r="H709" t="n">
        <v>0.0215947488237789</v>
      </c>
      <c r="I709" t="n">
        <v>0.1534254686053175</v>
      </c>
      <c r="J709" t="n">
        <v>0.084799047598051</v>
      </c>
      <c r="K709" t="n">
        <v>0.2351633379670347</v>
      </c>
      <c r="L709" t="b">
        <v>0</v>
      </c>
      <c r="M709" t="b">
        <v>0</v>
      </c>
      <c r="N709" t="inlineStr">
        <is>
          <t>alt</t>
        </is>
      </c>
      <c r="O709" t="n">
        <v>100</v>
      </c>
      <c r="P709" t="n">
        <v>0.0887</v>
      </c>
      <c r="Q709" t="n">
        <v>-55</v>
      </c>
      <c r="R709" t="n">
        <v>0.07635</v>
      </c>
      <c r="S709">
        <f>IMAGE("https://mitra.stanford.edu/kundaje/oak/projects/neuro-variants/variant_position/credible/roussos_2024/variant_figures/roussos_2024.infant.GLU/rs11223722_count_position.png",4,220,900)</f>
        <v/>
      </c>
      <c r="T709">
        <f>IMAGE("https://mitra.stanford.edu/kundaje/oak/projects/neuro-variants/variant_position/credible/roussos_2024/variant_figures/roussos_2024.infant.GLU/rs11223722_profile_position.png",4,220,900)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-0.143168685</v>
      </c>
      <c r="G710" t="n">
        <v>0.02414477013505</v>
      </c>
      <c r="H710" t="n">
        <v>0.0323883417305599</v>
      </c>
      <c r="I710" t="n">
        <v>0.0449001592477405</v>
      </c>
      <c r="J710" t="n">
        <v>0.0452335809872351</v>
      </c>
      <c r="K710" t="n">
        <v>0.3702152123071548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0.1826</v>
      </c>
      <c r="Q710" t="n">
        <v>-100</v>
      </c>
      <c r="R710" t="n">
        <v>0.03247</v>
      </c>
      <c r="S710">
        <f>IMAGE("https://mitra.stanford.edu/kundaje/oak/projects/neuro-variants/variant_position/credible/roussos_2024/variant_figures/roussos_2024.infant.GLU/rs10894782_count_position.png",4,220,900)</f>
        <v/>
      </c>
      <c r="T710">
        <f>IMAGE("https://mitra.stanford.edu/kundaje/oak/projects/neuro-variants/variant_position/credible/roussos_2024/variant_figures/roussos_2024.infant.GLU/rs10894782_profile_position.png",4,220,900)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-0.0537090698</v>
      </c>
      <c r="G711" t="n">
        <v>0.1541392761702478</v>
      </c>
      <c r="H711" t="n">
        <v>0.0160696054064063</v>
      </c>
      <c r="I711" t="n">
        <v>0.3192228120741679</v>
      </c>
      <c r="J711" t="n">
        <v>0.4197469080006173</v>
      </c>
      <c r="K711" t="n">
        <v>0.0419208364254142</v>
      </c>
      <c r="L711" t="b">
        <v>0</v>
      </c>
      <c r="M711" t="b">
        <v>0</v>
      </c>
      <c r="N711" t="inlineStr">
        <is>
          <t>ref</t>
        </is>
      </c>
      <c r="O711" t="n">
        <v>95</v>
      </c>
      <c r="P711" t="n">
        <v>0.011406</v>
      </c>
      <c r="Q711" t="n">
        <v>-100</v>
      </c>
      <c r="R711" t="n">
        <v>0.1469</v>
      </c>
      <c r="S711">
        <f>IMAGE("https://mitra.stanford.edu/kundaje/oak/projects/neuro-variants/variant_position/credible/roussos_2024/variant_figures/roussos_2024.infant.GLU/rs523621_count_position.png",4,220,900)</f>
        <v/>
      </c>
      <c r="T711">
        <f>IMAGE("https://mitra.stanford.edu/kundaje/oak/projects/neuro-variants/variant_position/credible/roussos_2024/variant_figures/roussos_2024.infant.GLU/rs523621_profile_position.png",4,220,900)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-0.01384664066</v>
      </c>
      <c r="G712" t="n">
        <v>0.5554747007160257</v>
      </c>
      <c r="H712" t="n">
        <v>0.050600038121772</v>
      </c>
      <c r="I712" t="n">
        <v>0.0072189825697938</v>
      </c>
      <c r="J712" t="n">
        <v>0.1458938689124539</v>
      </c>
      <c r="K712" t="n">
        <v>0.1511108776448167</v>
      </c>
      <c r="L712" t="b">
        <v>1</v>
      </c>
      <c r="M712" t="b">
        <v>1</v>
      </c>
      <c r="N712" t="inlineStr">
        <is>
          <t>ref</t>
        </is>
      </c>
      <c r="O712" t="n">
        <v>-80</v>
      </c>
      <c r="P712" t="n">
        <v>0.1411</v>
      </c>
      <c r="Q712" t="n">
        <v>-70</v>
      </c>
      <c r="R712" t="n">
        <v>0.1006</v>
      </c>
      <c r="S712">
        <f>IMAGE("https://mitra.stanford.edu/kundaje/oak/projects/neuro-variants/variant_position/credible/roussos_2024/variant_figures/roussos_2024.infant.GLU/rs543528_count_position.png",4,220,900)</f>
        <v/>
      </c>
      <c r="T712">
        <f>IMAGE("https://mitra.stanford.edu/kundaje/oak/projects/neuro-variants/variant_position/credible/roussos_2024/variant_figures/roussos_2024.infant.GLU/rs543528_profile_position.png",4,220,900)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-0.0217194942</v>
      </c>
      <c r="G713" t="n">
        <v>0.3163387154096789</v>
      </c>
      <c r="H713" t="n">
        <v>0.0120965140969049</v>
      </c>
      <c r="I713" t="n">
        <v>0.5482662147007714</v>
      </c>
      <c r="J713" t="n">
        <v>0.3697887960492956</v>
      </c>
      <c r="K713" t="n">
        <v>0.0505040688161511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0.01311</v>
      </c>
      <c r="Q713" t="n">
        <v>90</v>
      </c>
      <c r="R713" t="n">
        <v>0.2108</v>
      </c>
      <c r="S713">
        <f>IMAGE("https://mitra.stanford.edu/kundaje/oak/projects/neuro-variants/variant_position/credible/roussos_2024/variant_figures/roussos_2024.infant.GLU/rs7936986_count_position.png",4,220,900)</f>
        <v/>
      </c>
      <c r="T713">
        <f>IMAGE("https://mitra.stanford.edu/kundaje/oak/projects/neuro-variants/variant_position/credible/roussos_2024/variant_figures/roussos_2024.infant.GLU/rs7936986_profile_position.png",4,220,900)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-0.0115508596999999</v>
      </c>
      <c r="G714" t="n">
        <v>0.627682736503849</v>
      </c>
      <c r="H714" t="n">
        <v>0.0073118883979353</v>
      </c>
      <c r="I714" t="n">
        <v>0.9492052687549926</v>
      </c>
      <c r="J714" t="n">
        <v>0.024270817257876</v>
      </c>
      <c r="K714" t="n">
        <v>0.5209442241755087</v>
      </c>
      <c r="L714" t="b">
        <v>0</v>
      </c>
      <c r="M714" t="b">
        <v>0</v>
      </c>
      <c r="N714" t="inlineStr">
        <is>
          <t>ref</t>
        </is>
      </c>
      <c r="O714" t="n">
        <v>20</v>
      </c>
      <c r="P714" t="n">
        <v>0.006744</v>
      </c>
      <c r="Q714" t="n">
        <v>-30</v>
      </c>
      <c r="R714" t="n">
        <v>0.0626</v>
      </c>
      <c r="S714">
        <f>IMAGE("https://mitra.stanford.edu/kundaje/oak/projects/neuro-variants/variant_position/credible/roussos_2024/variant_figures/roussos_2024.infant.GLU/rs10894852_count_position.png",4,220,900)</f>
        <v/>
      </c>
      <c r="T714">
        <f>IMAGE("https://mitra.stanford.edu/kundaje/oak/projects/neuro-variants/variant_position/credible/roussos_2024/variant_figures/roussos_2024.infant.GLU/rs10894852_profile_position.png",4,220,900)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0.0190044518</v>
      </c>
      <c r="G715" t="n">
        <v>0.4469455945115204</v>
      </c>
      <c r="H715" t="n">
        <v>0.0084542261483286</v>
      </c>
      <c r="I715" t="n">
        <v>0.8690449582144855</v>
      </c>
      <c r="J715" t="n">
        <v>0.1589100288807072</v>
      </c>
      <c r="K715" t="n">
        <v>0.1363763660193668</v>
      </c>
      <c r="L715" t="b">
        <v>0</v>
      </c>
      <c r="M715" t="b">
        <v>0</v>
      </c>
      <c r="N715" t="inlineStr">
        <is>
          <t>alt</t>
        </is>
      </c>
      <c r="O715" t="n">
        <v>-60</v>
      </c>
      <c r="P715" t="n">
        <v>0.05417</v>
      </c>
      <c r="Q715" t="n">
        <v>-100</v>
      </c>
      <c r="R715" t="n">
        <v>0.11206</v>
      </c>
      <c r="S715">
        <f>IMAGE("https://mitra.stanford.edu/kundaje/oak/projects/neuro-variants/variant_position/credible/roussos_2024/variant_figures/roussos_2024.infant.GLU/rs7122771_count_position.png",4,220,900)</f>
        <v/>
      </c>
      <c r="T715">
        <f>IMAGE("https://mitra.stanford.edu/kundaje/oak/projects/neuro-variants/variant_position/credible/roussos_2024/variant_figures/roussos_2024.infant.GLU/rs7122771_profile_position.png",4,220,900)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0.0052016228</v>
      </c>
      <c r="G716" t="n">
        <v>0.5010193436812642</v>
      </c>
      <c r="H716" t="n">
        <v>0.02253113903461</v>
      </c>
      <c r="I716" t="n">
        <v>0.1338319907940935</v>
      </c>
      <c r="J716" t="n">
        <v>0.0008410679247778</v>
      </c>
      <c r="K716" t="n">
        <v>0.9127884345271212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0.003408</v>
      </c>
      <c r="Q716" t="n">
        <v>-45</v>
      </c>
      <c r="R716" t="n">
        <v>0.03284</v>
      </c>
      <c r="S716">
        <f>IMAGE("https://mitra.stanford.edu/kundaje/oak/projects/neuro-variants/variant_position/credible/roussos_2024/variant_figures/roussos_2024.infant.GLU/rs4343039_count_position.png",4,220,900)</f>
        <v/>
      </c>
      <c r="T716">
        <f>IMAGE("https://mitra.stanford.edu/kundaje/oak/projects/neuro-variants/variant_position/credible/roussos_2024/variant_figures/roussos_2024.infant.GLU/rs4343039_profile_position.png",4,220,900)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-0.006207409</v>
      </c>
      <c r="G717" t="n">
        <v>0.5275541687279373</v>
      </c>
      <c r="H717" t="n">
        <v>0.0164368846606472</v>
      </c>
      <c r="I717" t="n">
        <v>0.2988585965973048</v>
      </c>
      <c r="J717" t="n">
        <v>0.0049560175488876</v>
      </c>
      <c r="K717" t="n">
        <v>0.7769915993641605</v>
      </c>
      <c r="L717" t="b">
        <v>0</v>
      </c>
      <c r="M717" t="b">
        <v>0</v>
      </c>
      <c r="N717" t="inlineStr">
        <is>
          <t>ref</t>
        </is>
      </c>
      <c r="O717" t="n">
        <v>-25</v>
      </c>
      <c r="P717" t="n">
        <v>0.002594</v>
      </c>
      <c r="Q717" t="n">
        <v>-95</v>
      </c>
      <c r="R717" t="n">
        <v>0.1079</v>
      </c>
      <c r="S717">
        <f>IMAGE("https://mitra.stanford.edu/kundaje/oak/projects/neuro-variants/variant_position/credible/roussos_2024/variant_figures/roussos_2024.infant.GLU/rs2187466_count_position.png",4,220,900)</f>
        <v/>
      </c>
      <c r="T717">
        <f>IMAGE("https://mitra.stanford.edu/kundaje/oak/projects/neuro-variants/variant_position/credible/roussos_2024/variant_figures/roussos_2024.infant.GLU/rs2187466_profile_position.png",4,220,900)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0.074063503</v>
      </c>
      <c r="G718" t="n">
        <v>0.0867517828222755</v>
      </c>
      <c r="H718" t="n">
        <v>0.0121668131743951</v>
      </c>
      <c r="I718" t="n">
        <v>0.5480981731331055</v>
      </c>
      <c r="J718" t="n">
        <v>0.3623845322868669</v>
      </c>
      <c r="K718" t="n">
        <v>0.0535003434024394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0.02269</v>
      </c>
      <c r="Q718" t="n">
        <v>30</v>
      </c>
      <c r="R718" t="n">
        <v>0.03247</v>
      </c>
      <c r="S718">
        <f>IMAGE("https://mitra.stanford.edu/kundaje/oak/projects/neuro-variants/variant_position/credible/roussos_2024/variant_figures/roussos_2024.infant.GLU/rs3019649_count_position.png",4,220,900)</f>
        <v/>
      </c>
      <c r="T718">
        <f>IMAGE("https://mitra.stanford.edu/kundaje/oak/projects/neuro-variants/variant_position/credible/roussos_2024/variant_figures/roussos_2024.infant.GLU/rs3019649_profile_position.png",4,220,900)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-0.1090588971999999</v>
      </c>
      <c r="G719" t="n">
        <v>0.0476310703079422</v>
      </c>
      <c r="H719" t="n">
        <v>0.0184696805047757</v>
      </c>
      <c r="I719" t="n">
        <v>0.2352759122241633</v>
      </c>
      <c r="J719" t="n">
        <v>0.0921614233118013</v>
      </c>
      <c r="K719" t="n">
        <v>0.2287756766581936</v>
      </c>
      <c r="L719" t="b">
        <v>0</v>
      </c>
      <c r="M719" t="b">
        <v>0</v>
      </c>
      <c r="N719" t="inlineStr">
        <is>
          <t>ref</t>
        </is>
      </c>
      <c r="O719" t="n">
        <v>85</v>
      </c>
      <c r="P719" t="n">
        <v>0.00479</v>
      </c>
      <c r="Q719" t="n">
        <v>-100</v>
      </c>
      <c r="R719" t="n">
        <v>0.09326</v>
      </c>
      <c r="S719">
        <f>IMAGE("https://mitra.stanford.edu/kundaje/oak/projects/neuro-variants/variant_position/credible/roussos_2024/variant_figures/roussos_2024.infant.GLU/rs3019651_count_position.png",4,220,900)</f>
        <v/>
      </c>
      <c r="T719">
        <f>IMAGE("https://mitra.stanford.edu/kundaje/oak/projects/neuro-variants/variant_position/credible/roussos_2024/variant_figures/roussos_2024.infant.GLU/rs3019651_profile_position.png",4,220,900)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0.026931419946</v>
      </c>
      <c r="G720" t="n">
        <v>0.3705050501250474</v>
      </c>
      <c r="H720" t="n">
        <v>0.009798578767943</v>
      </c>
      <c r="I720" t="n">
        <v>0.7356887048686815</v>
      </c>
      <c r="J720" t="n">
        <v>0.1915386141669789</v>
      </c>
      <c r="K720" t="n">
        <v>0.1179665608505704</v>
      </c>
      <c r="L720" t="b">
        <v>0</v>
      </c>
      <c r="M720" t="b">
        <v>0</v>
      </c>
      <c r="N720" t="inlineStr">
        <is>
          <t>alt</t>
        </is>
      </c>
      <c r="O720" t="n">
        <v>0</v>
      </c>
      <c r="P720" t="n">
        <v>0</v>
      </c>
      <c r="Q720" t="n">
        <v>20</v>
      </c>
      <c r="R720" t="n">
        <v>0.01294</v>
      </c>
      <c r="S720">
        <f>IMAGE("https://mitra.stanford.edu/kundaje/oak/projects/neuro-variants/variant_position/credible/roussos_2024/variant_figures/roussos_2024.infant.GLU/rs3019652_count_position.png",4,220,900)</f>
        <v/>
      </c>
      <c r="T720">
        <f>IMAGE("https://mitra.stanford.edu/kundaje/oak/projects/neuro-variants/variant_position/credible/roussos_2024/variant_figures/roussos_2024.infant.GLU/rs3019652_profile_position.png",4,220,900)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-0.00037569196</v>
      </c>
      <c r="G721" t="n">
        <v>0.7463882925775379</v>
      </c>
      <c r="H721" t="n">
        <v>0.0165181072992873</v>
      </c>
      <c r="I721" t="n">
        <v>0.2923657971127582</v>
      </c>
      <c r="J721" t="n">
        <v>0.0077184241275159</v>
      </c>
      <c r="K721" t="n">
        <v>0.7000074829446241</v>
      </c>
      <c r="L721" t="b">
        <v>0</v>
      </c>
      <c r="M721" t="b">
        <v>0</v>
      </c>
      <c r="N721" t="inlineStr">
        <is>
          <t>ref</t>
        </is>
      </c>
      <c r="O721" t="n">
        <v>0</v>
      </c>
      <c r="P721" t="n">
        <v>0</v>
      </c>
      <c r="Q721" t="n">
        <v>50</v>
      </c>
      <c r="R721" t="n">
        <v>0.01245</v>
      </c>
      <c r="S721">
        <f>IMAGE("https://mitra.stanford.edu/kundaje/oak/projects/neuro-variants/variant_position/credible/roussos_2024/variant_figures/roussos_2024.infant.GLU/rs2226892_count_position.png",4,220,900)</f>
        <v/>
      </c>
      <c r="T721">
        <f>IMAGE("https://mitra.stanford.edu/kundaje/oak/projects/neuro-variants/variant_position/credible/roussos_2024/variant_figures/roussos_2024.infant.GLU/rs2226892_profile_position.png",4,220,900)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0.0362377507999999</v>
      </c>
      <c r="G722" t="n">
        <v>0.1301140114561315</v>
      </c>
      <c r="H722" t="n">
        <v>0.0398330287446475</v>
      </c>
      <c r="I722" t="n">
        <v>0.0207214267289531</v>
      </c>
      <c r="J722" t="n">
        <v>0.6245860799400339</v>
      </c>
      <c r="K722" t="n">
        <v>0.0192597909194453</v>
      </c>
      <c r="L722" t="b">
        <v>0</v>
      </c>
      <c r="M722" t="b">
        <v>0</v>
      </c>
      <c r="N722" t="inlineStr">
        <is>
          <t>alt</t>
        </is>
      </c>
      <c r="O722" t="n">
        <v>-10</v>
      </c>
      <c r="P722" t="n">
        <v>0.001526</v>
      </c>
      <c r="Q722" t="n">
        <v>-35</v>
      </c>
      <c r="R722" t="n">
        <v>0.05078</v>
      </c>
      <c r="S722">
        <f>IMAGE("https://mitra.stanford.edu/kundaje/oak/projects/neuro-variants/variant_position/credible/roussos_2024/variant_figures/roussos_2024.infant.GLU/rs3018003_count_position.png",4,220,900)</f>
        <v/>
      </c>
      <c r="T722">
        <f>IMAGE("https://mitra.stanford.edu/kundaje/oak/projects/neuro-variants/variant_position/credible/roussos_2024/variant_figures/roussos_2024.infant.GLU/rs3018003_profile_position.png",4,220,900)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0.17836442</v>
      </c>
      <c r="G723" t="n">
        <v>0.0139595023503941</v>
      </c>
      <c r="H723" t="n">
        <v>0.0413400197798051</v>
      </c>
      <c r="I723" t="n">
        <v>0.0179619676737399</v>
      </c>
      <c r="J723" t="n">
        <v>0.6972188540311736</v>
      </c>
      <c r="K723" t="n">
        <v>0.014098915815832</v>
      </c>
      <c r="L723" t="b">
        <v>1</v>
      </c>
      <c r="M723" t="b">
        <v>0</v>
      </c>
      <c r="N723" t="inlineStr">
        <is>
          <t>alt</t>
        </is>
      </c>
      <c r="O723" t="n">
        <v>100</v>
      </c>
      <c r="P723" t="n">
        <v>0.00718</v>
      </c>
      <c r="Q723" t="n">
        <v>-15</v>
      </c>
      <c r="R723" t="n">
        <v>0.04785</v>
      </c>
      <c r="S723">
        <f>IMAGE("https://mitra.stanford.edu/kundaje/oak/projects/neuro-variants/variant_position/credible/roussos_2024/variant_figures/roussos_2024.infant.GLU/rs11223928_count_position.png",4,220,900)</f>
        <v/>
      </c>
      <c r="T723">
        <f>IMAGE("https://mitra.stanford.edu/kundaje/oak/projects/neuro-variants/variant_position/credible/roussos_2024/variant_figures/roussos_2024.infant.GLU/rs11223928_profile_position.png",4,220,900)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0.00250762146</v>
      </c>
      <c r="G724" t="n">
        <v>0.7370750842706636</v>
      </c>
      <c r="H724" t="n">
        <v>0.0136136589137721</v>
      </c>
      <c r="I724" t="n">
        <v>0.4412668949796345</v>
      </c>
      <c r="J724" t="n">
        <v>0.002462576335457</v>
      </c>
      <c r="K724" t="n">
        <v>0.8352098408925057</v>
      </c>
      <c r="L724" t="b">
        <v>0</v>
      </c>
      <c r="M724" t="b">
        <v>0</v>
      </c>
      <c r="N724" t="inlineStr">
        <is>
          <t>alt</t>
        </is>
      </c>
      <c r="O724" t="n">
        <v>5</v>
      </c>
      <c r="P724" t="n">
        <v>0.00243</v>
      </c>
      <c r="Q724" t="n">
        <v>5</v>
      </c>
      <c r="R724" t="n">
        <v>0.008359999999999999</v>
      </c>
      <c r="S724">
        <f>IMAGE("https://mitra.stanford.edu/kundaje/oak/projects/neuro-variants/variant_position/credible/roussos_2024/variant_figures/roussos_2024.infant.GLU/rs999785_count_position.png",4,220,900)</f>
        <v/>
      </c>
      <c r="T724">
        <f>IMAGE("https://mitra.stanford.edu/kundaje/oak/projects/neuro-variants/variant_position/credible/roussos_2024/variant_figures/roussos_2024.infant.GLU/rs999785_profile_position.png",4,220,900)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-0.0330736549999999</v>
      </c>
      <c r="G725" t="n">
        <v>0.2931815478796151</v>
      </c>
      <c r="H725" t="n">
        <v>0.0122560318831636</v>
      </c>
      <c r="I725" t="n">
        <v>0.5217766724250424</v>
      </c>
      <c r="J725" t="n">
        <v>0.07753257346943269</v>
      </c>
      <c r="K725" t="n">
        <v>0.2588582790172194</v>
      </c>
      <c r="L725" t="b">
        <v>0</v>
      </c>
      <c r="M725" t="b">
        <v>0</v>
      </c>
      <c r="N725" t="inlineStr">
        <is>
          <t>ref</t>
        </is>
      </c>
      <c r="O725" t="n">
        <v>45</v>
      </c>
      <c r="P725" t="n">
        <v>0.006195</v>
      </c>
      <c r="Q725" t="n">
        <v>25</v>
      </c>
      <c r="R725" t="n">
        <v>0.03427</v>
      </c>
      <c r="S725">
        <f>IMAGE("https://mitra.stanford.edu/kundaje/oak/projects/neuro-variants/variant_position/credible/roussos_2024/variant_figures/roussos_2024.infant.GLU/rs11223931_count_position.png",4,220,900)</f>
        <v/>
      </c>
      <c r="T725">
        <f>IMAGE("https://mitra.stanford.edu/kundaje/oak/projects/neuro-variants/variant_position/credible/roussos_2024/variant_figures/roussos_2024.infant.GLU/rs11223931_profile_position.png",4,220,900)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-0.0074267764</v>
      </c>
      <c r="G726" t="n">
        <v>0.4236624542430569</v>
      </c>
      <c r="H726" t="n">
        <v>0.0082867124568169</v>
      </c>
      <c r="I726" t="n">
        <v>0.8855159767686587</v>
      </c>
      <c r="J726" t="n">
        <v>0.0930399700169756</v>
      </c>
      <c r="K726" t="n">
        <v>0.2222550332546287</v>
      </c>
      <c r="L726" t="b">
        <v>0</v>
      </c>
      <c r="M726" t="b">
        <v>0</v>
      </c>
      <c r="N726" t="inlineStr">
        <is>
          <t>ref</t>
        </is>
      </c>
      <c r="O726" t="n">
        <v>85</v>
      </c>
      <c r="P726" t="n">
        <v>0.006893</v>
      </c>
      <c r="Q726" t="n">
        <v>55</v>
      </c>
      <c r="R726" t="n">
        <v>0.01019</v>
      </c>
      <c r="S726">
        <f>IMAGE("https://mitra.stanford.edu/kundaje/oak/projects/neuro-variants/variant_position/credible/roussos_2024/variant_figures/roussos_2024.infant.GLU/rs10894859_count_position.png",4,220,900)</f>
        <v/>
      </c>
      <c r="T726">
        <f>IMAGE("https://mitra.stanford.edu/kundaje/oak/projects/neuro-variants/variant_position/credible/roussos_2024/variant_figures/roussos_2024.infant.GLU/rs10894859_profile_position.png",4,220,900)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0.0246697978</v>
      </c>
      <c r="G727" t="n">
        <v>0.193198933321705</v>
      </c>
      <c r="H727" t="n">
        <v>0.0122696168637003</v>
      </c>
      <c r="I727" t="n">
        <v>0.5397929338228017</v>
      </c>
      <c r="J727" t="n">
        <v>0.0993353028064992</v>
      </c>
      <c r="K727" t="n">
        <v>0.2111843972720701</v>
      </c>
      <c r="L727" t="b">
        <v>0</v>
      </c>
      <c r="M727" t="b">
        <v>0</v>
      </c>
      <c r="N727" t="inlineStr">
        <is>
          <t>alt</t>
        </is>
      </c>
      <c r="O727" t="n">
        <v>80</v>
      </c>
      <c r="P727" t="n">
        <v>0.003279</v>
      </c>
      <c r="Q727" t="n">
        <v>-10</v>
      </c>
      <c r="R727" t="n">
        <v>0.005737</v>
      </c>
      <c r="S727">
        <f>IMAGE("https://mitra.stanford.edu/kundaje/oak/projects/neuro-variants/variant_position/credible/roussos_2024/variant_figures/roussos_2024.infant.GLU/rs12277680_count_position.png",4,220,900)</f>
        <v/>
      </c>
      <c r="T727">
        <f>IMAGE("https://mitra.stanford.edu/kundaje/oak/projects/neuro-variants/variant_position/credible/roussos_2024/variant_figures/roussos_2024.infant.GLU/rs12277680_profile_position.png",4,220,900)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-0.08148141859999999</v>
      </c>
      <c r="G728" t="n">
        <v>0.0786134728990312</v>
      </c>
      <c r="H728" t="n">
        <v>0.0443163013798073</v>
      </c>
      <c r="I728" t="n">
        <v>0.0131659558582315</v>
      </c>
      <c r="J728" t="n">
        <v>0.7865649595449635</v>
      </c>
      <c r="K728" t="n">
        <v>0.009045052165916501</v>
      </c>
      <c r="L728" t="b">
        <v>1</v>
      </c>
      <c r="M728" t="b">
        <v>0</v>
      </c>
      <c r="N728" t="inlineStr">
        <is>
          <t>ref</t>
        </is>
      </c>
      <c r="O728" t="n">
        <v>30</v>
      </c>
      <c r="P728" t="n">
        <v>0.00232</v>
      </c>
      <c r="Q728" t="n">
        <v>100</v>
      </c>
      <c r="R728" t="n">
        <v>0.1338</v>
      </c>
      <c r="S728">
        <f>IMAGE("https://mitra.stanford.edu/kundaje/oak/projects/neuro-variants/variant_position/credible/roussos_2024/variant_figures/roussos_2024.infant.GLU/rs7951888_count_position.png",4,220,900)</f>
        <v/>
      </c>
      <c r="T728">
        <f>IMAGE("https://mitra.stanford.edu/kundaje/oak/projects/neuro-variants/variant_position/credible/roussos_2024/variant_figures/roussos_2024.infant.GLU/rs7951888_profile_position.png",4,220,900)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0.0253059364</v>
      </c>
      <c r="G729" t="n">
        <v>0.3615467865526779</v>
      </c>
      <c r="H729" t="n">
        <v>0.0114304103702462</v>
      </c>
      <c r="I729" t="n">
        <v>0.6064648675961357</v>
      </c>
      <c r="J729" t="n">
        <v>0.114417204964836</v>
      </c>
      <c r="K729" t="n">
        <v>0.188540446853804</v>
      </c>
      <c r="L729" t="b">
        <v>0</v>
      </c>
      <c r="M729" t="b">
        <v>0</v>
      </c>
      <c r="N729" t="inlineStr">
        <is>
          <t>alt</t>
        </is>
      </c>
      <c r="O729" t="n">
        <v>-15</v>
      </c>
      <c r="P729" t="n">
        <v>0.003128</v>
      </c>
      <c r="Q729" t="n">
        <v>-95</v>
      </c>
      <c r="R729" t="n">
        <v>0.2734</v>
      </c>
      <c r="S729">
        <f>IMAGE("https://mitra.stanford.edu/kundaje/oak/projects/neuro-variants/variant_position/credible/roussos_2024/variant_figures/roussos_2024.infant.GLU/rs10894902_count_position.png",4,220,900)</f>
        <v/>
      </c>
      <c r="T729">
        <f>IMAGE("https://mitra.stanford.edu/kundaje/oak/projects/neuro-variants/variant_position/credible/roussos_2024/variant_figures/roussos_2024.infant.GLU/rs10894902_profile_position.png",4,220,900)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-0.1517123979999999</v>
      </c>
      <c r="G730" t="n">
        <v>0.0216131573494262</v>
      </c>
      <c r="H730" t="n">
        <v>0.0353141275659317</v>
      </c>
      <c r="I730" t="n">
        <v>0.0326980837920212</v>
      </c>
      <c r="J730" t="n">
        <v>0.2147754580127427</v>
      </c>
      <c r="K730" t="n">
        <v>0.1010687648867871</v>
      </c>
      <c r="L730" t="b">
        <v>0</v>
      </c>
      <c r="M730" t="b">
        <v>0</v>
      </c>
      <c r="N730" t="inlineStr">
        <is>
          <t>ref</t>
        </is>
      </c>
      <c r="O730" t="n">
        <v>80</v>
      </c>
      <c r="P730" t="n">
        <v>0.05377</v>
      </c>
      <c r="Q730" t="n">
        <v>70</v>
      </c>
      <c r="R730" t="n">
        <v>0.1218</v>
      </c>
      <c r="S730">
        <f>IMAGE("https://mitra.stanford.edu/kundaje/oak/projects/neuro-variants/variant_position/credible/roussos_2024/variant_figures/roussos_2024.infant.GLU/rs906627_count_position.png",4,220,900)</f>
        <v/>
      </c>
      <c r="T730">
        <f>IMAGE("https://mitra.stanford.edu/kundaje/oak/projects/neuro-variants/variant_position/credible/roussos_2024/variant_figures/roussos_2024.infant.GLU/rs906627_profile_position.png",4,220,900)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0.0331395912</v>
      </c>
      <c r="G731" t="n">
        <v>0.2759379388168871</v>
      </c>
      <c r="H731" t="n">
        <v>0.0110516211284156</v>
      </c>
      <c r="I731" t="n">
        <v>0.6306530440407561</v>
      </c>
      <c r="J731" t="n">
        <v>0.4180085539804669</v>
      </c>
      <c r="K731" t="n">
        <v>0.0419086913195847</v>
      </c>
      <c r="L731" t="b">
        <v>0</v>
      </c>
      <c r="M731" t="b">
        <v>0</v>
      </c>
      <c r="N731" t="inlineStr">
        <is>
          <t>alt</t>
        </is>
      </c>
      <c r="O731" t="n">
        <v>30</v>
      </c>
      <c r="P731" t="n">
        <v>0.002884</v>
      </c>
      <c r="Q731" t="n">
        <v>45</v>
      </c>
      <c r="R731" t="n">
        <v>0.0583</v>
      </c>
      <c r="S731">
        <f>IMAGE("https://mitra.stanford.edu/kundaje/oak/projects/neuro-variants/variant_position/credible/roussos_2024/variant_figures/roussos_2024.infant.GLU/rs1154905_count_position.png",4,220,900)</f>
        <v/>
      </c>
      <c r="T731">
        <f>IMAGE("https://mitra.stanford.edu/kundaje/oak/projects/neuro-variants/variant_position/credible/roussos_2024/variant_figures/roussos_2024.infant.GLU/rs1154905_profile_position.png",4,220,900)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-0.03504558166</v>
      </c>
      <c r="G732" t="n">
        <v>0.2788472407421346</v>
      </c>
      <c r="H732" t="n">
        <v>0.0172340674206065</v>
      </c>
      <c r="I732" t="n">
        <v>0.2662605825852495</v>
      </c>
      <c r="J732" t="n">
        <v>0.024730483476267</v>
      </c>
      <c r="K732" t="n">
        <v>0.4958874756160396</v>
      </c>
      <c r="L732" t="b">
        <v>0</v>
      </c>
      <c r="M732" t="b">
        <v>0</v>
      </c>
      <c r="N732" t="inlineStr">
        <is>
          <t>ref</t>
        </is>
      </c>
      <c r="O732" t="n">
        <v>80</v>
      </c>
      <c r="P732" t="n">
        <v>0.003754</v>
      </c>
      <c r="Q732" t="n">
        <v>70</v>
      </c>
      <c r="R732" t="n">
        <v>0.1318</v>
      </c>
      <c r="S732">
        <f>IMAGE("https://mitra.stanford.edu/kundaje/oak/projects/neuro-variants/variant_position/credible/roussos_2024/variant_figures/roussos_2024.infant.GLU/rs12226882_count_position.png",4,220,900)</f>
        <v/>
      </c>
      <c r="T732">
        <f>IMAGE("https://mitra.stanford.edu/kundaje/oak/projects/neuro-variants/variant_position/credible/roussos_2024/variant_figures/roussos_2024.infant.GLU/rs12226882_profile_position.png",4,220,900)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-0.0534058286</v>
      </c>
      <c r="G733" t="n">
        <v>0.1830822715628674</v>
      </c>
      <c r="H733" t="n">
        <v>0.0197262988779718</v>
      </c>
      <c r="I733" t="n">
        <v>0.2047965740043454</v>
      </c>
      <c r="J733" t="n">
        <v>0.177453206640358</v>
      </c>
      <c r="K733" t="n">
        <v>0.1236585302604632</v>
      </c>
      <c r="L733" t="b">
        <v>0</v>
      </c>
      <c r="M733" t="b">
        <v>0</v>
      </c>
      <c r="N733" t="inlineStr">
        <is>
          <t>ref</t>
        </is>
      </c>
      <c r="O733" t="n">
        <v>80</v>
      </c>
      <c r="P733" t="n">
        <v>0.003132</v>
      </c>
      <c r="Q733" t="n">
        <v>75</v>
      </c>
      <c r="R733" t="n">
        <v>0.05478</v>
      </c>
      <c r="S733">
        <f>IMAGE("https://mitra.stanford.edu/kundaje/oak/projects/neuro-variants/variant_position/credible/roussos_2024/variant_figures/roussos_2024.infant.GLU/rs7118700_count_position.png",4,220,900)</f>
        <v/>
      </c>
      <c r="T733">
        <f>IMAGE("https://mitra.stanford.edu/kundaje/oak/projects/neuro-variants/variant_position/credible/roussos_2024/variant_figures/roussos_2024.infant.GLU/rs7118700_profile_position.png",4,220,900)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0.030336084</v>
      </c>
      <c r="G734" t="n">
        <v>0.3052494943711656</v>
      </c>
      <c r="H734" t="n">
        <v>0.0184044934638586</v>
      </c>
      <c r="I734" t="n">
        <v>0.2256000108891471</v>
      </c>
      <c r="J734" t="n">
        <v>0.2409587953879053</v>
      </c>
      <c r="K734" t="n">
        <v>0.0926188629760996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0.09533999999999999</v>
      </c>
      <c r="Q734" t="n">
        <v>100</v>
      </c>
      <c r="R734" t="n">
        <v>0.4175</v>
      </c>
      <c r="S734">
        <f>IMAGE("https://mitra.stanford.edu/kundaje/oak/projects/neuro-variants/variant_position/credible/roussos_2024/variant_figures/roussos_2024.infant.GLU/rs1319913_count_position.png",4,220,900)</f>
        <v/>
      </c>
      <c r="T734">
        <f>IMAGE("https://mitra.stanford.edu/kundaje/oak/projects/neuro-variants/variant_position/credible/roussos_2024/variant_figures/roussos_2024.infant.GLU/rs1319913_profile_position.png",4,220,900)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0.0266289682</v>
      </c>
      <c r="G735" t="n">
        <v>0.355473025124207</v>
      </c>
      <c r="H735" t="n">
        <v>0.0107649897795332</v>
      </c>
      <c r="I735" t="n">
        <v>0.6670424721678284</v>
      </c>
      <c r="J735" t="n">
        <v>0.4127714455786061</v>
      </c>
      <c r="K735" t="n">
        <v>0.0425971511944585</v>
      </c>
      <c r="L735" t="b">
        <v>0</v>
      </c>
      <c r="M735" t="b">
        <v>0</v>
      </c>
      <c r="N735" t="inlineStr">
        <is>
          <t>alt</t>
        </is>
      </c>
      <c r="O735" t="n">
        <v>10</v>
      </c>
      <c r="P735" t="n">
        <v>0.002716</v>
      </c>
      <c r="Q735" t="n">
        <v>40</v>
      </c>
      <c r="R735" t="n">
        <v>0.04858</v>
      </c>
      <c r="S735">
        <f>IMAGE("https://mitra.stanford.edu/kundaje/oak/projects/neuro-variants/variant_position/credible/roussos_2024/variant_figures/roussos_2024.infant.GLU/rs11224103_count_position.png",4,220,900)</f>
        <v/>
      </c>
      <c r="T735">
        <f>IMAGE("https://mitra.stanford.edu/kundaje/oak/projects/neuro-variants/variant_position/credible/roussos_2024/variant_figures/roussos_2024.infant.GLU/rs11224103_profile_position.png",4,220,900)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0.0448091585999999</v>
      </c>
      <c r="G736" t="n">
        <v>0.1931828390806391</v>
      </c>
      <c r="H736" t="n">
        <v>0.0105842473660084</v>
      </c>
      <c r="I736" t="n">
        <v>0.6862665490368307</v>
      </c>
      <c r="J736" t="n">
        <v>0.1183116911748494</v>
      </c>
      <c r="K736" t="n">
        <v>0.1818802187382033</v>
      </c>
      <c r="L736" t="b">
        <v>0</v>
      </c>
      <c r="M736" t="b">
        <v>0</v>
      </c>
      <c r="N736" t="inlineStr">
        <is>
          <t>alt</t>
        </is>
      </c>
      <c r="O736" t="n">
        <v>80</v>
      </c>
      <c r="P736" t="n">
        <v>0.01663</v>
      </c>
      <c r="Q736" t="n">
        <v>25</v>
      </c>
      <c r="R736" t="n">
        <v>0.03857</v>
      </c>
      <c r="S736">
        <f>IMAGE("https://mitra.stanford.edu/kundaje/oak/projects/neuro-variants/variant_position/credible/roussos_2024/variant_figures/roussos_2024.infant.GLU/rs11061971_count_position.png",4,220,900)</f>
        <v/>
      </c>
      <c r="T736">
        <f>IMAGE("https://mitra.stanford.edu/kundaje/oak/projects/neuro-variants/variant_position/credible/roussos_2024/variant_figures/roussos_2024.infant.GLU/rs11061971_profile_position.png",4,220,900)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0.00411674394</v>
      </c>
      <c r="G737" t="n">
        <v>0.559080940053199</v>
      </c>
      <c r="H737" t="n">
        <v>0.0128846947594563</v>
      </c>
      <c r="I737" t="n">
        <v>0.4949236832017559</v>
      </c>
      <c r="J737" t="n">
        <v>0.455342930840627</v>
      </c>
      <c r="K737" t="n">
        <v>0.0362933871684587</v>
      </c>
      <c r="L737" t="b">
        <v>0</v>
      </c>
      <c r="M737" t="b">
        <v>0</v>
      </c>
      <c r="N737" t="inlineStr">
        <is>
          <t>alt</t>
        </is>
      </c>
      <c r="O737" t="n">
        <v>-100</v>
      </c>
      <c r="P737" t="n">
        <v>0.02835</v>
      </c>
      <c r="Q737" t="n">
        <v>-50</v>
      </c>
      <c r="R737" t="n">
        <v>0.3228</v>
      </c>
      <c r="S737">
        <f>IMAGE("https://mitra.stanford.edu/kundaje/oak/projects/neuro-variants/variant_position/credible/roussos_2024/variant_figures/roussos_2024.infant.GLU/rs7294668_count_position.png",4,220,900)</f>
        <v/>
      </c>
      <c r="T737">
        <f>IMAGE("https://mitra.stanford.edu/kundaje/oak/projects/neuro-variants/variant_position/credible/roussos_2024/variant_figures/roussos_2024.infant.GLU/rs7294668_profile_position.png",4,220,900)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0.0190703496</v>
      </c>
      <c r="G738" t="n">
        <v>0.4470654148889391</v>
      </c>
      <c r="H738" t="n">
        <v>0.0468599561617445</v>
      </c>
      <c r="I738" t="n">
        <v>0.0104574371866535</v>
      </c>
      <c r="J738" t="n">
        <v>0.0243931744526995</v>
      </c>
      <c r="K738" t="n">
        <v>0.4932000305662321</v>
      </c>
      <c r="L738" t="b">
        <v>1</v>
      </c>
      <c r="M738" t="b">
        <v>0</v>
      </c>
      <c r="N738" t="inlineStr">
        <is>
          <t>alt</t>
        </is>
      </c>
      <c r="O738" t="n">
        <v>-95</v>
      </c>
      <c r="P738" t="n">
        <v>0.02673</v>
      </c>
      <c r="Q738" t="n">
        <v>75</v>
      </c>
      <c r="R738" t="n">
        <v>0.05627</v>
      </c>
      <c r="S738">
        <f>IMAGE("https://mitra.stanford.edu/kundaje/oak/projects/neuro-variants/variant_position/credible/roussos_2024/variant_figures/roussos_2024.infant.GLU/rs7306506_count_position.png",4,220,900)</f>
        <v/>
      </c>
      <c r="T738">
        <f>IMAGE("https://mitra.stanford.edu/kundaje/oak/projects/neuro-variants/variant_position/credible/roussos_2024/variant_figures/roussos_2024.infant.GLU/rs7306506_profile_position.png",4,220,900)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-0.0630236196</v>
      </c>
      <c r="G739" t="n">
        <v>0.1170382117374954</v>
      </c>
      <c r="H739" t="n">
        <v>0.0165273321024576</v>
      </c>
      <c r="I739" t="n">
        <v>0.2918530067640082</v>
      </c>
      <c r="J739" t="n">
        <v>0.0249002403051213</v>
      </c>
      <c r="K739" t="n">
        <v>0.4999239354521014</v>
      </c>
      <c r="L739" t="b">
        <v>0</v>
      </c>
      <c r="M739" t="b">
        <v>0</v>
      </c>
      <c r="N739" t="inlineStr">
        <is>
          <t>ref</t>
        </is>
      </c>
      <c r="O739" t="n">
        <v>-15</v>
      </c>
      <c r="P739" t="n">
        <v>0.003357</v>
      </c>
      <c r="Q739" t="n">
        <v>30</v>
      </c>
      <c r="R739" t="n">
        <v>0.01938</v>
      </c>
      <c r="S739">
        <f>IMAGE("https://mitra.stanford.edu/kundaje/oak/projects/neuro-variants/variant_position/credible/roussos_2024/variant_figures/roussos_2024.infant.GLU/rs4766416_count_position.png",4,220,900)</f>
        <v/>
      </c>
      <c r="T739">
        <f>IMAGE("https://mitra.stanford.edu/kundaje/oak/projects/neuro-variants/variant_position/credible/roussos_2024/variant_figures/roussos_2024.infant.GLU/rs4766416_profile_position.png",4,220,900)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0.010581454846</v>
      </c>
      <c r="G740" t="n">
        <v>0.6205075530602376</v>
      </c>
      <c r="H740" t="n">
        <v>0.0088783056928069</v>
      </c>
      <c r="I740" t="n">
        <v>0.8149780248927473</v>
      </c>
      <c r="J740" t="n">
        <v>0.1206386825106373</v>
      </c>
      <c r="K740" t="n">
        <v>0.1827293282454663</v>
      </c>
      <c r="L740" t="b">
        <v>0</v>
      </c>
      <c r="M740" t="b">
        <v>0</v>
      </c>
      <c r="N740" t="inlineStr">
        <is>
          <t>alt</t>
        </is>
      </c>
      <c r="O740" t="n">
        <v>60</v>
      </c>
      <c r="P740" t="n">
        <v>0.008019999999999999</v>
      </c>
      <c r="Q740" t="n">
        <v>100</v>
      </c>
      <c r="R740" t="n">
        <v>0.0629</v>
      </c>
      <c r="S740">
        <f>IMAGE("https://mitra.stanford.edu/kundaje/oak/projects/neuro-variants/variant_position/credible/roussos_2024/variant_figures/roussos_2024.infant.GLU/rs7294540_count_position.png",4,220,900)</f>
        <v/>
      </c>
      <c r="T740">
        <f>IMAGE("https://mitra.stanford.edu/kundaje/oak/projects/neuro-variants/variant_position/credible/roussos_2024/variant_figures/roussos_2024.infant.GLU/rs7294540_profile_position.png",4,220,900)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-0.0619834436</v>
      </c>
      <c r="G741" t="n">
        <v>0.128720640335247</v>
      </c>
      <c r="H741" t="n">
        <v>0.017385705838989</v>
      </c>
      <c r="I741" t="n">
        <v>0.2638538385390104</v>
      </c>
      <c r="J741" t="n">
        <v>0.0552360060847901</v>
      </c>
      <c r="K741" t="n">
        <v>0.3368489395618628</v>
      </c>
      <c r="L741" t="b">
        <v>0</v>
      </c>
      <c r="M741" t="b">
        <v>0</v>
      </c>
      <c r="N741" t="inlineStr">
        <is>
          <t>ref</t>
        </is>
      </c>
      <c r="O741" t="n">
        <v>-80</v>
      </c>
      <c r="P741" t="n">
        <v>0.02997</v>
      </c>
      <c r="Q741" t="n">
        <v>-30</v>
      </c>
      <c r="R741" t="n">
        <v>0.175</v>
      </c>
      <c r="S741">
        <f>IMAGE("https://mitra.stanford.edu/kundaje/oak/projects/neuro-variants/variant_position/credible/roussos_2024/variant_figures/roussos_2024.infant.GLU/rs2286379_count_position.png",4,220,900)</f>
        <v/>
      </c>
      <c r="T741">
        <f>IMAGE("https://mitra.stanford.edu/kundaje/oak/projects/neuro-variants/variant_position/credible/roussos_2024/variant_figures/roussos_2024.infant.GLU/rs2286379_profile_position.png",4,220,900)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-0.072518928</v>
      </c>
      <c r="G742" t="n">
        <v>0.0915276414075351</v>
      </c>
      <c r="H742" t="n">
        <v>0.0122300735665351</v>
      </c>
      <c r="I742" t="n">
        <v>0.5396787219099385</v>
      </c>
      <c r="J742" t="n">
        <v>0.1105105932670472</v>
      </c>
      <c r="K742" t="n">
        <v>0.1927800351209601</v>
      </c>
      <c r="L742" t="b">
        <v>0</v>
      </c>
      <c r="M742" t="b">
        <v>0</v>
      </c>
      <c r="N742" t="inlineStr">
        <is>
          <t>ref</t>
        </is>
      </c>
      <c r="O742" t="n">
        <v>100</v>
      </c>
      <c r="P742" t="n">
        <v>0.03363</v>
      </c>
      <c r="Q742" t="n">
        <v>-100</v>
      </c>
      <c r="R742" t="n">
        <v>0.0577</v>
      </c>
      <c r="S742">
        <f>IMAGE("https://mitra.stanford.edu/kundaje/oak/projects/neuro-variants/variant_position/credible/roussos_2024/variant_figures/roussos_2024.infant.GLU/rs2283288_count_position.png",4,220,900)</f>
        <v/>
      </c>
      <c r="T742">
        <f>IMAGE("https://mitra.stanford.edu/kundaje/oak/projects/neuro-variants/variant_position/credible/roussos_2024/variant_figures/roussos_2024.infant.GLU/rs2283288_profile_position.png",4,220,900)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0.06868379708</v>
      </c>
      <c r="G743" t="n">
        <v>0.1206826643771179</v>
      </c>
      <c r="H743" t="n">
        <v>0.0210770549951825</v>
      </c>
      <c r="I743" t="n">
        <v>0.1642986907238415</v>
      </c>
      <c r="J743" t="n">
        <v>0.1776703631032429</v>
      </c>
      <c r="K743" t="n">
        <v>0.1438469044020582</v>
      </c>
      <c r="L743" t="b">
        <v>0</v>
      </c>
      <c r="M743" t="b">
        <v>0</v>
      </c>
      <c r="N743" t="inlineStr">
        <is>
          <t>alt</t>
        </is>
      </c>
      <c r="O743" t="n">
        <v>-90</v>
      </c>
      <c r="P743" t="n">
        <v>0.002771</v>
      </c>
      <c r="Q743" t="n">
        <v>-75</v>
      </c>
      <c r="R743" t="n">
        <v>0.0813</v>
      </c>
      <c r="S743">
        <f>IMAGE("https://mitra.stanford.edu/kundaje/oak/projects/neuro-variants/variant_position/credible/roussos_2024/variant_figures/roussos_2024.infant.GLU/rs2238048_count_position.png",4,220,900)</f>
        <v/>
      </c>
      <c r="T743">
        <f>IMAGE("https://mitra.stanford.edu/kundaje/oak/projects/neuro-variants/variant_position/credible/roussos_2024/variant_figures/roussos_2024.infant.GLU/rs2238048_profile_position.png",4,220,900)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-0.0587141907999999</v>
      </c>
      <c r="G744" t="n">
        <v>0.1457736527761389</v>
      </c>
      <c r="H744" t="n">
        <v>0.0173035732784287</v>
      </c>
      <c r="I744" t="n">
        <v>0.2748385435304986</v>
      </c>
      <c r="J744" t="n">
        <v>0.1514925373134328</v>
      </c>
      <c r="K744" t="n">
        <v>0.1681962842294005</v>
      </c>
      <c r="L744" t="b">
        <v>0</v>
      </c>
      <c r="M744" t="b">
        <v>0</v>
      </c>
      <c r="N744" t="inlineStr">
        <is>
          <t>ref</t>
        </is>
      </c>
      <c r="O744" t="n">
        <v>-20</v>
      </c>
      <c r="P744" t="n">
        <v>0.002037</v>
      </c>
      <c r="Q744" t="n">
        <v>-70</v>
      </c>
      <c r="R744" t="n">
        <v>0.09845</v>
      </c>
      <c r="S744">
        <f>IMAGE("https://mitra.stanford.edu/kundaje/oak/projects/neuro-variants/variant_position/credible/roussos_2024/variant_figures/roussos_2024.infant.GLU/rs11614764_count_position.png",4,220,900)</f>
        <v/>
      </c>
      <c r="T744">
        <f>IMAGE("https://mitra.stanford.edu/kundaje/oak/projects/neuro-variants/variant_position/credible/roussos_2024/variant_figures/roussos_2024.infant.GLU/rs11614764_profile_position.png",4,220,900)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-0.052312704</v>
      </c>
      <c r="G745" t="n">
        <v>0.1615565461681781</v>
      </c>
      <c r="H745" t="n">
        <v>0.0111100856884019</v>
      </c>
      <c r="I745" t="n">
        <v>0.6366658160645711</v>
      </c>
      <c r="J745" t="n">
        <v>0.2053550563284022</v>
      </c>
      <c r="K745" t="n">
        <v>0.1049171370887653</v>
      </c>
      <c r="L745" t="b">
        <v>0</v>
      </c>
      <c r="M745" t="b">
        <v>0</v>
      </c>
      <c r="N745" t="inlineStr">
        <is>
          <t>ref</t>
        </is>
      </c>
      <c r="O745" t="n">
        <v>-65</v>
      </c>
      <c r="P745" t="n">
        <v>0.02174</v>
      </c>
      <c r="Q745" t="n">
        <v>-90</v>
      </c>
      <c r="R745" t="n">
        <v>0.1555</v>
      </c>
      <c r="S745">
        <f>IMAGE("https://mitra.stanford.edu/kundaje/oak/projects/neuro-variants/variant_position/credible/roussos_2024/variant_figures/roussos_2024.infant.GLU/rs2239018_count_position.png",4,220,900)</f>
        <v/>
      </c>
      <c r="T745">
        <f>IMAGE("https://mitra.stanford.edu/kundaje/oak/projects/neuro-variants/variant_position/credible/roussos_2024/variant_figures/roussos_2024.infant.GLU/rs2239018_profile_position.png",4,220,900)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-0.02461138664</v>
      </c>
      <c r="G746" t="n">
        <v>0.4105326455955352</v>
      </c>
      <c r="H746" t="n">
        <v>0.0109468856366504</v>
      </c>
      <c r="I746" t="n">
        <v>0.6515494584970389</v>
      </c>
      <c r="J746" t="n">
        <v>0.0121133622875283</v>
      </c>
      <c r="K746" t="n">
        <v>0.6321238548293675</v>
      </c>
      <c r="L746" t="b">
        <v>0</v>
      </c>
      <c r="M746" t="b">
        <v>0</v>
      </c>
      <c r="N746" t="inlineStr">
        <is>
          <t>ref</t>
        </is>
      </c>
      <c r="O746" t="n">
        <v>20</v>
      </c>
      <c r="P746" t="n">
        <v>0.002136</v>
      </c>
      <c r="Q746" t="n">
        <v>55</v>
      </c>
      <c r="R746" t="n">
        <v>0.05103</v>
      </c>
      <c r="S746">
        <f>IMAGE("https://mitra.stanford.edu/kundaje/oak/projects/neuro-variants/variant_position/credible/roussos_2024/variant_figures/roussos_2024.infant.GLU/rs2238053_count_position.png",4,220,900)</f>
        <v/>
      </c>
      <c r="T746">
        <f>IMAGE("https://mitra.stanford.edu/kundaje/oak/projects/neuro-variants/variant_position/credible/roussos_2024/variant_figures/roussos_2024.infant.GLU/rs2238053_profile_position.png",4,220,900)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-0.0533942822</v>
      </c>
      <c r="G747" t="n">
        <v>0.1590471895415346</v>
      </c>
      <c r="H747" t="n">
        <v>0.0220597255852756</v>
      </c>
      <c r="I747" t="n">
        <v>0.1467581850318581</v>
      </c>
      <c r="J747" t="n">
        <v>0.0192177958067858</v>
      </c>
      <c r="K747" t="n">
        <v>0.5488222288274547</v>
      </c>
      <c r="L747" t="b">
        <v>0</v>
      </c>
      <c r="M747" t="b">
        <v>0</v>
      </c>
      <c r="N747" t="inlineStr">
        <is>
          <t>ref</t>
        </is>
      </c>
      <c r="O747" t="n">
        <v>-100</v>
      </c>
      <c r="P747" t="n">
        <v>0.004192</v>
      </c>
      <c r="Q747" t="n">
        <v>100</v>
      </c>
      <c r="R747" t="n">
        <v>0.12415</v>
      </c>
      <c r="S747">
        <f>IMAGE("https://mitra.stanford.edu/kundaje/oak/projects/neuro-variants/variant_position/credible/roussos_2024/variant_figures/roussos_2024.infant.GLU/rs7957545_count_position.png",4,220,900)</f>
        <v/>
      </c>
      <c r="T747">
        <f>IMAGE("https://mitra.stanford.edu/kundaje/oak/projects/neuro-variants/variant_position/credible/roussos_2024/variant_figures/roussos_2024.infant.GLU/rs7957545_profile_position.png",4,220,900)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0.144412617</v>
      </c>
      <c r="G748" t="n">
        <v>0.025209302730181</v>
      </c>
      <c r="H748" t="n">
        <v>0.0154203635860083</v>
      </c>
      <c r="I748" t="n">
        <v>0.3404337922860661</v>
      </c>
      <c r="J748" t="n">
        <v>0.0243556956723031</v>
      </c>
      <c r="K748" t="n">
        <v>0.5099056823745839</v>
      </c>
      <c r="L748" t="b">
        <v>0</v>
      </c>
      <c r="M748" t="b">
        <v>0</v>
      </c>
      <c r="N748" t="inlineStr">
        <is>
          <t>alt</t>
        </is>
      </c>
      <c r="O748" t="n">
        <v>-100</v>
      </c>
      <c r="P748" t="n">
        <v>0.07434</v>
      </c>
      <c r="Q748" t="n">
        <v>-95</v>
      </c>
      <c r="R748" t="n">
        <v>0.06506000000000001</v>
      </c>
      <c r="S748">
        <f>IMAGE("https://mitra.stanford.edu/kundaje/oak/projects/neuro-variants/variant_position/credible/roussos_2024/variant_figures/roussos_2024.infant.GLU/rs10848642_count_position.png",4,220,900)</f>
        <v/>
      </c>
      <c r="T748">
        <f>IMAGE("https://mitra.stanford.edu/kundaje/oak/projects/neuro-variants/variant_position/credible/roussos_2024/variant_figures/roussos_2024.infant.GLU/rs10848642_profile_position.png",4,220,900)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0.0607181691999999</v>
      </c>
      <c r="G749" t="n">
        <v>0.120383612633608</v>
      </c>
      <c r="H749" t="n">
        <v>0.0129390269193486</v>
      </c>
      <c r="I749" t="n">
        <v>0.4860661424735553</v>
      </c>
      <c r="J749" t="n">
        <v>0.0118587270442469</v>
      </c>
      <c r="K749" t="n">
        <v>0.6524193521194994</v>
      </c>
      <c r="L749" t="b">
        <v>0</v>
      </c>
      <c r="M749" t="b">
        <v>0</v>
      </c>
      <c r="N749" t="inlineStr">
        <is>
          <t>alt</t>
        </is>
      </c>
      <c r="O749" t="n">
        <v>-85</v>
      </c>
      <c r="P749" t="n">
        <v>0.006912</v>
      </c>
      <c r="Q749" t="n">
        <v>-45</v>
      </c>
      <c r="R749" t="n">
        <v>0.03314</v>
      </c>
      <c r="S749">
        <f>IMAGE("https://mitra.stanford.edu/kundaje/oak/projects/neuro-variants/variant_position/credible/roussos_2024/variant_figures/roussos_2024.infant.GLU/rs11062162_count_position.png",4,220,900)</f>
        <v/>
      </c>
      <c r="T749">
        <f>IMAGE("https://mitra.stanford.edu/kundaje/oak/projects/neuro-variants/variant_position/credible/roussos_2024/variant_figures/roussos_2024.infant.GLU/rs11062162_profile_position.png",4,220,900)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0.01002290542</v>
      </c>
      <c r="G750" t="n">
        <v>0.6511970642098134</v>
      </c>
      <c r="H750" t="n">
        <v>0.0102189943036587</v>
      </c>
      <c r="I750" t="n">
        <v>0.7185665815596606</v>
      </c>
      <c r="J750" t="n">
        <v>0.0009843691439405001</v>
      </c>
      <c r="K750" t="n">
        <v>0.8954841305776958</v>
      </c>
      <c r="L750" t="b">
        <v>0</v>
      </c>
      <c r="M750" t="b">
        <v>0</v>
      </c>
      <c r="N750" t="inlineStr">
        <is>
          <t>alt</t>
        </is>
      </c>
      <c r="O750" t="n">
        <v>100</v>
      </c>
      <c r="P750" t="n">
        <v>0.0489</v>
      </c>
      <c r="Q750" t="n">
        <v>-30</v>
      </c>
      <c r="R750" t="n">
        <v>0.0237</v>
      </c>
      <c r="S750">
        <f>IMAGE("https://mitra.stanford.edu/kundaje/oak/projects/neuro-variants/variant_position/credible/roussos_2024/variant_figures/roussos_2024.infant.GLU/rs1108222_count_position.png",4,220,900)</f>
        <v/>
      </c>
      <c r="T750">
        <f>IMAGE("https://mitra.stanford.edu/kundaje/oak/projects/neuro-variants/variant_position/credible/roussos_2024/variant_figures/roussos_2024.infant.GLU/rs1108222_profile_position.png",4,220,900)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0.1392774288</v>
      </c>
      <c r="G751" t="n">
        <v>0.0261011278771017</v>
      </c>
      <c r="H751" t="n">
        <v>0.040199956701472</v>
      </c>
      <c r="I751" t="n">
        <v>0.0203771409560173</v>
      </c>
      <c r="J751" t="n">
        <v>0.1334365836989351</v>
      </c>
      <c r="K751" t="n">
        <v>0.1680713087758201</v>
      </c>
      <c r="L751" t="b">
        <v>0</v>
      </c>
      <c r="M751" t="b">
        <v>0</v>
      </c>
      <c r="N751" t="inlineStr">
        <is>
          <t>alt</t>
        </is>
      </c>
      <c r="O751" t="n">
        <v>-50</v>
      </c>
      <c r="P751" t="n">
        <v>0.010765</v>
      </c>
      <c r="Q751" t="n">
        <v>-25</v>
      </c>
      <c r="R751" t="n">
        <v>0.02881</v>
      </c>
      <c r="S751">
        <f>IMAGE("https://mitra.stanford.edu/kundaje/oak/projects/neuro-variants/variant_position/credible/roussos_2024/variant_figures/roussos_2024.infant.GLU/rs11062166_count_position.png",4,220,900)</f>
        <v/>
      </c>
      <c r="T751">
        <f>IMAGE("https://mitra.stanford.edu/kundaje/oak/projects/neuro-variants/variant_position/credible/roussos_2024/variant_figures/roussos_2024.infant.GLU/rs11062166_profile_position.png",4,220,900)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-0.0554026082</v>
      </c>
      <c r="G752" t="n">
        <v>0.1653728452050138</v>
      </c>
      <c r="H752" t="n">
        <v>0.0127756065872354</v>
      </c>
      <c r="I752" t="n">
        <v>0.4986975606831064</v>
      </c>
      <c r="J752" t="n">
        <v>0.762316188628497</v>
      </c>
      <c r="K752" t="n">
        <v>0.0104965127952265</v>
      </c>
      <c r="L752" t="b">
        <v>0</v>
      </c>
      <c r="M752" t="b">
        <v>0</v>
      </c>
      <c r="N752" t="inlineStr">
        <is>
          <t>ref</t>
        </is>
      </c>
      <c r="O752" t="n">
        <v>75</v>
      </c>
      <c r="P752" t="n">
        <v>0.007990000000000001</v>
      </c>
      <c r="Q752" t="n">
        <v>20</v>
      </c>
      <c r="R752" t="n">
        <v>0.02051</v>
      </c>
      <c r="S752">
        <f>IMAGE("https://mitra.stanford.edu/kundaje/oak/projects/neuro-variants/variant_position/credible/roussos_2024/variant_figures/roussos_2024.infant.GLU/rs11062170_count_position.png",4,220,900)</f>
        <v/>
      </c>
      <c r="T752">
        <f>IMAGE("https://mitra.stanford.edu/kundaje/oak/projects/neuro-variants/variant_position/credible/roussos_2024/variant_figures/roussos_2024.infant.GLU/rs11062170_profile_position.png",4,220,900)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0.0459576344</v>
      </c>
      <c r="G753" t="n">
        <v>0.182936600644783</v>
      </c>
      <c r="H753" t="n">
        <v>0.0092243372161254</v>
      </c>
      <c r="I753" t="n">
        <v>0.7711528744819975</v>
      </c>
      <c r="J753" t="n">
        <v>0.173589585308318</v>
      </c>
      <c r="K753" t="n">
        <v>0.1265415794420387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0.0997</v>
      </c>
      <c r="Q753" t="n">
        <v>90</v>
      </c>
      <c r="R753" t="n">
        <v>0.1017</v>
      </c>
      <c r="S753">
        <f>IMAGE("https://mitra.stanford.edu/kundaje/oak/projects/neuro-variants/variant_position/credible/roussos_2024/variant_figures/roussos_2024.infant.GLU/rs2370414_count_position.png",4,220,900)</f>
        <v/>
      </c>
      <c r="T753">
        <f>IMAGE("https://mitra.stanford.edu/kundaje/oak/projects/neuro-variants/variant_position/credible/roussos_2024/variant_figures/roussos_2024.infant.GLU/rs2370414_profile_position.png",4,220,900)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0.0280702077</v>
      </c>
      <c r="G754" t="n">
        <v>0.3352066784824955</v>
      </c>
      <c r="H754" t="n">
        <v>0.0126231816011017</v>
      </c>
      <c r="I754" t="n">
        <v>0.5106460811636767</v>
      </c>
      <c r="J754" t="n">
        <v>0.08938137966004529</v>
      </c>
      <c r="K754" t="n">
        <v>0.2334619873044214</v>
      </c>
      <c r="L754" t="b">
        <v>0</v>
      </c>
      <c r="M754" t="b">
        <v>0</v>
      </c>
      <c r="N754" t="inlineStr">
        <is>
          <t>alt</t>
        </is>
      </c>
      <c r="O754" t="n">
        <v>-100</v>
      </c>
      <c r="P754" t="n">
        <v>0.00567</v>
      </c>
      <c r="Q754" t="n">
        <v>-100</v>
      </c>
      <c r="R754" t="n">
        <v>0.03528</v>
      </c>
      <c r="S754">
        <f>IMAGE("https://mitra.stanford.edu/kundaje/oak/projects/neuro-variants/variant_position/credible/roussos_2024/variant_figures/roussos_2024.infant.GLU/rs2238057_count_position.png",4,220,900)</f>
        <v/>
      </c>
      <c r="T754">
        <f>IMAGE("https://mitra.stanford.edu/kundaje/oak/projects/neuro-variants/variant_position/credible/roussos_2024/variant_figures/roussos_2024.infant.GLU/rs2238057_profile_position.png",4,220,900)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-0.0145651799199999</v>
      </c>
      <c r="G755" t="n">
        <v>0.5726086632665819</v>
      </c>
      <c r="H755" t="n">
        <v>0.0147395483522362</v>
      </c>
      <c r="I755" t="n">
        <v>0.3826408676559327</v>
      </c>
      <c r="J755" t="n">
        <v>0.3106935779007473</v>
      </c>
      <c r="K755" t="n">
        <v>0.0643034365107879</v>
      </c>
      <c r="L755" t="b">
        <v>0</v>
      </c>
      <c r="M755" t="b">
        <v>0</v>
      </c>
      <c r="N755" t="inlineStr">
        <is>
          <t>ref</t>
        </is>
      </c>
      <c r="O755" t="n">
        <v>-15</v>
      </c>
      <c r="P755" t="n">
        <v>0.00243</v>
      </c>
      <c r="Q755" t="n">
        <v>100</v>
      </c>
      <c r="R755" t="n">
        <v>0.1561</v>
      </c>
      <c r="S755">
        <f>IMAGE("https://mitra.stanford.edu/kundaje/oak/projects/neuro-variants/variant_position/credible/roussos_2024/variant_figures/roussos_2024.infant.GLU/rs6489486_count_position.png",4,220,900)</f>
        <v/>
      </c>
      <c r="T755">
        <f>IMAGE("https://mitra.stanford.edu/kundaje/oak/projects/neuro-variants/variant_position/credible/roussos_2024/variant_figures/roussos_2024.infant.GLU/rs6489486_profile_position.png",4,220,900)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0.01988871576</v>
      </c>
      <c r="G756" t="n">
        <v>0.4460927620123733</v>
      </c>
      <c r="H756" t="n">
        <v>0.0356978602923934</v>
      </c>
      <c r="I756" t="n">
        <v>0.0313876122900155</v>
      </c>
      <c r="J756" t="n">
        <v>0.0562402169359994</v>
      </c>
      <c r="K756" t="n">
        <v>0.3149223092538286</v>
      </c>
      <c r="L756" t="b">
        <v>0</v>
      </c>
      <c r="M756" t="b">
        <v>0</v>
      </c>
      <c r="N756" t="inlineStr">
        <is>
          <t>alt</t>
        </is>
      </c>
      <c r="O756" t="n">
        <v>10</v>
      </c>
      <c r="P756" t="n">
        <v>0.00293</v>
      </c>
      <c r="Q756" t="n">
        <v>-95</v>
      </c>
      <c r="R756" t="n">
        <v>0.1594</v>
      </c>
      <c r="S756">
        <f>IMAGE("https://mitra.stanford.edu/kundaje/oak/projects/neuro-variants/variant_position/credible/roussos_2024/variant_figures/roussos_2024.infant.GLU/rs7132826_count_position.png",4,220,900)</f>
        <v/>
      </c>
      <c r="T756">
        <f>IMAGE("https://mitra.stanford.edu/kundaje/oak/projects/neuro-variants/variant_position/credible/roussos_2024/variant_figures/roussos_2024.infant.GLU/rs7132826_profile_position.png",4,220,900)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0.01668263128</v>
      </c>
      <c r="G757" t="n">
        <v>0.4881013568280443</v>
      </c>
      <c r="H757" t="n">
        <v>0.0346859877961612</v>
      </c>
      <c r="I757" t="n">
        <v>0.0350547676198753</v>
      </c>
      <c r="J757" t="n">
        <v>0.0150223770365307</v>
      </c>
      <c r="K757" t="n">
        <v>0.5997447560636473</v>
      </c>
      <c r="L757" t="b">
        <v>0</v>
      </c>
      <c r="M757" t="b">
        <v>0</v>
      </c>
      <c r="N757" t="inlineStr">
        <is>
          <t>alt</t>
        </is>
      </c>
      <c r="O757" t="n">
        <v>-85</v>
      </c>
      <c r="P757" t="n">
        <v>0.01657</v>
      </c>
      <c r="Q757" t="n">
        <v>-80</v>
      </c>
      <c r="R757" t="n">
        <v>0.07820000000000001</v>
      </c>
      <c r="S757">
        <f>IMAGE("https://mitra.stanford.edu/kundaje/oak/projects/neuro-variants/variant_position/credible/roussos_2024/variant_figures/roussos_2024.infant.GLU/rs11056556_count_position.png",4,220,900)</f>
        <v/>
      </c>
      <c r="T757">
        <f>IMAGE("https://mitra.stanford.edu/kundaje/oak/projects/neuro-variants/variant_position/credible/roussos_2024/variant_figures/roussos_2024.infant.GLU/rs11056556_profile_position.png",4,220,900)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-0.1528677399999999</v>
      </c>
      <c r="G758" t="n">
        <v>0.0205975780048891</v>
      </c>
      <c r="H758" t="n">
        <v>0.0246429037686824</v>
      </c>
      <c r="I758" t="n">
        <v>0.1056813927730172</v>
      </c>
      <c r="J758" t="n">
        <v>0.026060980180339</v>
      </c>
      <c r="K758" t="n">
        <v>0.4980203306129568</v>
      </c>
      <c r="L758" t="b">
        <v>0</v>
      </c>
      <c r="M758" t="b">
        <v>0</v>
      </c>
      <c r="N758" t="inlineStr">
        <is>
          <t>ref</t>
        </is>
      </c>
      <c r="O758" t="n">
        <v>100</v>
      </c>
      <c r="P758" t="n">
        <v>0.02527</v>
      </c>
      <c r="Q758" t="n">
        <v>-100</v>
      </c>
      <c r="R758" t="n">
        <v>0.12427</v>
      </c>
      <c r="S758">
        <f>IMAGE("https://mitra.stanford.edu/kundaje/oak/projects/neuro-variants/variant_position/credible/roussos_2024/variant_figures/roussos_2024.infant.GLU/rs10846207_count_position.png",4,220,900)</f>
        <v/>
      </c>
      <c r="T758">
        <f>IMAGE("https://mitra.stanford.edu/kundaje/oak/projects/neuro-variants/variant_position/credible/roussos_2024/variant_figures/roussos_2024.infant.GLU/rs10846207_profile_position.png",4,220,900)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-0.0003896448439999</v>
      </c>
      <c r="G759" t="n">
        <v>0.8653920264416833</v>
      </c>
      <c r="H759" t="n">
        <v>0.0286635174676872</v>
      </c>
      <c r="I759" t="n">
        <v>0.0670278530884886</v>
      </c>
      <c r="J759" t="n">
        <v>0.0552856103529618</v>
      </c>
      <c r="K759" t="n">
        <v>0.3247972607916393</v>
      </c>
      <c r="L759" t="b">
        <v>0</v>
      </c>
      <c r="M759" t="b">
        <v>0</v>
      </c>
      <c r="N759" t="inlineStr">
        <is>
          <t>ref</t>
        </is>
      </c>
      <c r="O759" t="n">
        <v>95</v>
      </c>
      <c r="P759" t="n">
        <v>0.03052</v>
      </c>
      <c r="Q759" t="n">
        <v>-85</v>
      </c>
      <c r="R759" t="n">
        <v>0.1511</v>
      </c>
      <c r="S759">
        <f>IMAGE("https://mitra.stanford.edu/kundaje/oak/projects/neuro-variants/variant_position/credible/roussos_2024/variant_figures/roussos_2024.infant.GLU/rs11046902_count_position.png",4,220,900)</f>
        <v/>
      </c>
      <c r="T759">
        <f>IMAGE("https://mitra.stanford.edu/kundaje/oak/projects/neuro-variants/variant_position/credible/roussos_2024/variant_figures/roussos_2024.infant.GLU/rs11046902_profile_position.png",4,220,900)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-0.0402489679999999</v>
      </c>
      <c r="G760" t="n">
        <v>0.2305544554129362</v>
      </c>
      <c r="H760" t="n">
        <v>0.0472294481429206</v>
      </c>
      <c r="I760" t="n">
        <v>0.009990680556380501</v>
      </c>
      <c r="J760" t="n">
        <v>0.0114916554597764</v>
      </c>
      <c r="K760" t="n">
        <v>0.6346808978042879</v>
      </c>
      <c r="L760" t="b">
        <v>1</v>
      </c>
      <c r="M760" t="b">
        <v>0</v>
      </c>
      <c r="N760" t="inlineStr">
        <is>
          <t>ref</t>
        </is>
      </c>
      <c r="O760" t="n">
        <v>-10</v>
      </c>
      <c r="P760" t="n">
        <v>0.010864</v>
      </c>
      <c r="Q760" t="n">
        <v>60</v>
      </c>
      <c r="R760" t="n">
        <v>0.03427</v>
      </c>
      <c r="S760">
        <f>IMAGE("https://mitra.stanford.edu/kundaje/oak/projects/neuro-variants/variant_position/credible/roussos_2024/variant_figures/roussos_2024.infant.GLU/rs2418108_count_position.png",4,220,900)</f>
        <v/>
      </c>
      <c r="T760">
        <f>IMAGE("https://mitra.stanford.edu/kundaje/oak/projects/neuro-variants/variant_position/credible/roussos_2024/variant_figures/roussos_2024.infant.GLU/rs2418108_profile_position.png",4,220,900)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-0.0236021819319999</v>
      </c>
      <c r="G761" t="n">
        <v>0.3597479186685641</v>
      </c>
      <c r="H761" t="n">
        <v>0.009365183961363301</v>
      </c>
      <c r="I761" t="n">
        <v>0.7931718614560993</v>
      </c>
      <c r="J761" t="n">
        <v>0.08725501003108529</v>
      </c>
      <c r="K761" t="n">
        <v>0.231017550972271</v>
      </c>
      <c r="L761" t="b">
        <v>0</v>
      </c>
      <c r="M761" t="b">
        <v>0</v>
      </c>
      <c r="N761" t="inlineStr">
        <is>
          <t>ref</t>
        </is>
      </c>
      <c r="O761" t="n">
        <v>-80</v>
      </c>
      <c r="P761" t="n">
        <v>0.0522</v>
      </c>
      <c r="Q761" t="n">
        <v>70</v>
      </c>
      <c r="R761" t="n">
        <v>0.1757</v>
      </c>
      <c r="S761">
        <f>IMAGE("https://mitra.stanford.edu/kundaje/oak/projects/neuro-variants/variant_position/credible/roussos_2024/variant_figures/roussos_2024.infant.GLU/rs77777611_count_position.png",4,220,900)</f>
        <v/>
      </c>
      <c r="T761">
        <f>IMAGE("https://mitra.stanford.edu/kundaje/oak/projects/neuro-variants/variant_position/credible/roussos_2024/variant_figures/roussos_2024.infant.GLU/rs77777611_profile_position.png",4,220,900)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-0.0529596218</v>
      </c>
      <c r="G762" t="n">
        <v>0.1618985718581757</v>
      </c>
      <c r="H762" t="n">
        <v>0.009440222572976401</v>
      </c>
      <c r="I762" t="n">
        <v>0.7934780630675543</v>
      </c>
      <c r="J762" t="n">
        <v>0.1025441477986727</v>
      </c>
      <c r="K762" t="n">
        <v>0.2026551146260902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0.03406</v>
      </c>
      <c r="Q762" t="n">
        <v>100</v>
      </c>
      <c r="R762" t="n">
        <v>0.02502</v>
      </c>
      <c r="S762">
        <f>IMAGE("https://mitra.stanford.edu/kundaje/oak/projects/neuro-variants/variant_position/credible/roussos_2024/variant_figures/roussos_2024.infant.GLU/rs11612157_count_position.png",4,220,900)</f>
        <v/>
      </c>
      <c r="T762">
        <f>IMAGE("https://mitra.stanford.edu/kundaje/oak/projects/neuro-variants/variant_position/credible/roussos_2024/variant_figures/roussos_2024.infant.GLU/rs11612157_profile_position.png",4,220,900)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-0.1295652857999999</v>
      </c>
      <c r="G763" t="n">
        <v>0.0304917178422822</v>
      </c>
      <c r="H763" t="n">
        <v>0.0398061499388788</v>
      </c>
      <c r="I763" t="n">
        <v>0.0208262812944545</v>
      </c>
      <c r="J763" t="n">
        <v>0.0025088736524173</v>
      </c>
      <c r="K763" t="n">
        <v>0.8226461770562704</v>
      </c>
      <c r="L763" t="b">
        <v>0</v>
      </c>
      <c r="M763" t="b">
        <v>0</v>
      </c>
      <c r="N763" t="inlineStr">
        <is>
          <t>ref</t>
        </is>
      </c>
      <c r="O763" t="n">
        <v>85</v>
      </c>
      <c r="P763" t="n">
        <v>0.003143</v>
      </c>
      <c r="Q763" t="n">
        <v>-50</v>
      </c>
      <c r="R763" t="n">
        <v>0.0509</v>
      </c>
      <c r="S763">
        <f>IMAGE("https://mitra.stanford.edu/kundaje/oak/projects/neuro-variants/variant_position/credible/roussos_2024/variant_figures/roussos_2024.infant.GLU/rs17468457_count_position.png",4,220,900)</f>
        <v/>
      </c>
      <c r="T763">
        <f>IMAGE("https://mitra.stanford.edu/kundaje/oak/projects/neuro-variants/variant_position/credible/roussos_2024/variant_figures/roussos_2024.infant.GLU/rs17468457_profile_position.png",4,220,900)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0.0382150074</v>
      </c>
      <c r="G764" t="n">
        <v>0.2339735484662971</v>
      </c>
      <c r="H764" t="n">
        <v>0.0116953306903861</v>
      </c>
      <c r="I764" t="n">
        <v>0.5790020125895851</v>
      </c>
      <c r="J764" t="n">
        <v>0.1016435547520888</v>
      </c>
      <c r="K764" t="n">
        <v>0.2097360610152139</v>
      </c>
      <c r="L764" t="b">
        <v>0</v>
      </c>
      <c r="M764" t="b">
        <v>0</v>
      </c>
      <c r="N764" t="inlineStr">
        <is>
          <t>alt</t>
        </is>
      </c>
      <c r="O764" t="n">
        <v>5</v>
      </c>
      <c r="P764" t="n">
        <v>0.001678</v>
      </c>
      <c r="Q764" t="n">
        <v>-40</v>
      </c>
      <c r="R764" t="n">
        <v>0.09014999999999999</v>
      </c>
      <c r="S764">
        <f>IMAGE("https://mitra.stanford.edu/kundaje/oak/projects/neuro-variants/variant_position/credible/roussos_2024/variant_figures/roussos_2024.infant.GLU/rs17383970_count_position.png",4,220,900)</f>
        <v/>
      </c>
      <c r="T764">
        <f>IMAGE("https://mitra.stanford.edu/kundaje/oak/projects/neuro-variants/variant_position/credible/roussos_2024/variant_figures/roussos_2024.infant.GLU/rs17383970_profile_position.png",4,220,900)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0.00542118554</v>
      </c>
      <c r="G765" t="n">
        <v>0.7281471532581348</v>
      </c>
      <c r="H765" t="n">
        <v>0.028584215108083</v>
      </c>
      <c r="I765" t="n">
        <v>0.0670996654281993</v>
      </c>
      <c r="J765" t="n">
        <v>0.0288851165149143</v>
      </c>
      <c r="K765" t="n">
        <v>0.4599259900328912</v>
      </c>
      <c r="L765" t="b">
        <v>0</v>
      </c>
      <c r="M765" t="b">
        <v>0</v>
      </c>
      <c r="N765" t="inlineStr">
        <is>
          <t>alt</t>
        </is>
      </c>
      <c r="O765" t="n">
        <v>100</v>
      </c>
      <c r="P765" t="n">
        <v>0.1483</v>
      </c>
      <c r="Q765" t="n">
        <v>90</v>
      </c>
      <c r="R765" t="n">
        <v>0.0857</v>
      </c>
      <c r="S765">
        <f>IMAGE("https://mitra.stanford.edu/kundaje/oak/projects/neuro-variants/variant_position/credible/roussos_2024/variant_figures/roussos_2024.infant.GLU/rs73091330_count_position.png",4,220,900)</f>
        <v/>
      </c>
      <c r="T765">
        <f>IMAGE("https://mitra.stanford.edu/kundaje/oak/projects/neuro-variants/variant_position/credible/roussos_2024/variant_figures/roussos_2024.infant.GLU/rs73091330_profile_position.png",4,220,900)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-0.0225524017</v>
      </c>
      <c r="G766" t="n">
        <v>0.4357889458527225</v>
      </c>
      <c r="H766" t="n">
        <v>0.0167877909056033</v>
      </c>
      <c r="I766" t="n">
        <v>0.2790240042062327</v>
      </c>
      <c r="J766" t="n">
        <v>0.0322537974823077</v>
      </c>
      <c r="K766" t="n">
        <v>0.4341893709317677</v>
      </c>
      <c r="L766" t="b">
        <v>0</v>
      </c>
      <c r="M766" t="b">
        <v>0</v>
      </c>
      <c r="N766" t="inlineStr">
        <is>
          <t>ref</t>
        </is>
      </c>
      <c r="O766" t="n">
        <v>75</v>
      </c>
      <c r="P766" t="n">
        <v>0.010956</v>
      </c>
      <c r="Q766" t="n">
        <v>100</v>
      </c>
      <c r="R766" t="n">
        <v>0.166</v>
      </c>
      <c r="S766">
        <f>IMAGE("https://mitra.stanford.edu/kundaje/oak/projects/neuro-variants/variant_position/credible/roussos_2024/variant_figures/roussos_2024.infant.GLU/rs73091349_count_position.png",4,220,900)</f>
        <v/>
      </c>
      <c r="T766">
        <f>IMAGE("https://mitra.stanford.edu/kundaje/oak/projects/neuro-variants/variant_position/credible/roussos_2024/variant_figures/roussos_2024.infant.GLU/rs73091349_profile_position.png",4,220,900)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-0.0151689728</v>
      </c>
      <c r="G767" t="n">
        <v>0.535238873454135</v>
      </c>
      <c r="H767" t="n">
        <v>0.0361037670466184</v>
      </c>
      <c r="I767" t="n">
        <v>0.0302648146754161</v>
      </c>
      <c r="J767" t="n">
        <v>0.07337904274785589</v>
      </c>
      <c r="K767" t="n">
        <v>0.2610594091665094</v>
      </c>
      <c r="L767" t="b">
        <v>0</v>
      </c>
      <c r="M767" t="b">
        <v>0</v>
      </c>
      <c r="N767" t="inlineStr">
        <is>
          <t>ref</t>
        </is>
      </c>
      <c r="O767" t="n">
        <v>95</v>
      </c>
      <c r="P767" t="n">
        <v>0.0228</v>
      </c>
      <c r="Q767" t="n">
        <v>100</v>
      </c>
      <c r="R767" t="n">
        <v>0.0929</v>
      </c>
      <c r="S767">
        <f>IMAGE("https://mitra.stanford.edu/kundaje/oak/projects/neuro-variants/variant_position/credible/roussos_2024/variant_figures/roussos_2024.infant.GLU/rs76571125_count_position.png",4,220,900)</f>
        <v/>
      </c>
      <c r="T767">
        <f>IMAGE("https://mitra.stanford.edu/kundaje/oak/projects/neuro-variants/variant_position/credible/roussos_2024/variant_figures/roussos_2024.infant.GLU/rs76571125_profile_position.png",4,220,900)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-0.0048329943799999</v>
      </c>
      <c r="G768" t="n">
        <v>0.6555774586547509</v>
      </c>
      <c r="H768" t="n">
        <v>0.0135075523354787</v>
      </c>
      <c r="I768" t="n">
        <v>0.4471393690547084</v>
      </c>
      <c r="J768" t="n">
        <v>0.0284629290769196</v>
      </c>
      <c r="K768" t="n">
        <v>0.4604662805219489</v>
      </c>
      <c r="L768" t="b">
        <v>0</v>
      </c>
      <c r="M768" t="b">
        <v>0</v>
      </c>
      <c r="N768" t="inlineStr">
        <is>
          <t>ref</t>
        </is>
      </c>
      <c r="O768" t="n">
        <v>-35</v>
      </c>
      <c r="P768" t="n">
        <v>0.0228</v>
      </c>
      <c r="Q768" t="n">
        <v>-10</v>
      </c>
      <c r="R768" t="n">
        <v>0.00957</v>
      </c>
      <c r="S768">
        <f>IMAGE("https://mitra.stanford.edu/kundaje/oak/projects/neuro-variants/variant_position/credible/roussos_2024/variant_figures/roussos_2024.infant.GLU/rs73091376_count_position.png",4,220,900)</f>
        <v/>
      </c>
      <c r="T768">
        <f>IMAGE("https://mitra.stanford.edu/kundaje/oak/projects/neuro-variants/variant_position/credible/roussos_2024/variant_figures/roussos_2024.infant.GLU/rs73091376_profile_position.png",4,220,900)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-0.019576197</v>
      </c>
      <c r="G769" t="n">
        <v>0.4559049435651608</v>
      </c>
      <c r="H769" t="n">
        <v>0.0392167904226182</v>
      </c>
      <c r="I769" t="n">
        <v>0.0218674892042395</v>
      </c>
      <c r="J769" t="n">
        <v>0.0008807513393152</v>
      </c>
      <c r="K769" t="n">
        <v>0.9061537367316204</v>
      </c>
      <c r="L769" t="b">
        <v>0</v>
      </c>
      <c r="M769" t="b">
        <v>0</v>
      </c>
      <c r="N769" t="inlineStr">
        <is>
          <t>ref</t>
        </is>
      </c>
      <c r="O769" t="n">
        <v>-100</v>
      </c>
      <c r="P769" t="n">
        <v>0.007416</v>
      </c>
      <c r="Q769" t="n">
        <v>-5</v>
      </c>
      <c r="R769" t="n">
        <v>0.002686</v>
      </c>
      <c r="S769">
        <f>IMAGE("https://mitra.stanford.edu/kundaje/oak/projects/neuro-variants/variant_position/credible/roussos_2024/variant_figures/roussos_2024.infant.GLU/rs73073805_count_position.png",4,220,900)</f>
        <v/>
      </c>
      <c r="T769">
        <f>IMAGE("https://mitra.stanford.edu/kundaje/oak/projects/neuro-variants/variant_position/credible/roussos_2024/variant_figures/roussos_2024.infant.GLU/rs73073805_profile_position.png",4,220,900)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-0.254074918</v>
      </c>
      <c r="G770" t="n">
        <v>0.0052972671407489</v>
      </c>
      <c r="H770" t="n">
        <v>0.0411152341060463</v>
      </c>
      <c r="I770" t="n">
        <v>0.0181864869539562</v>
      </c>
      <c r="J770" t="n">
        <v>0.2605116955841177</v>
      </c>
      <c r="K770" t="n">
        <v>0.0820134823382123</v>
      </c>
      <c r="L770" t="b">
        <v>1</v>
      </c>
      <c r="M770" t="b">
        <v>1</v>
      </c>
      <c r="N770" t="inlineStr">
        <is>
          <t>ref</t>
        </is>
      </c>
      <c r="O770" t="n">
        <v>40</v>
      </c>
      <c r="P770" t="n">
        <v>0.00708</v>
      </c>
      <c r="Q770" t="n">
        <v>-100</v>
      </c>
      <c r="R770" t="n">
        <v>0.08325</v>
      </c>
      <c r="S770">
        <f>IMAGE("https://mitra.stanford.edu/kundaje/oak/projects/neuro-variants/variant_position/credible/roussos_2024/variant_figures/roussos_2024.infant.GLU/rs10843507_count_position.png",4,220,900)</f>
        <v/>
      </c>
      <c r="T770">
        <f>IMAGE("https://mitra.stanford.edu/kundaje/oak/projects/neuro-variants/variant_position/credible/roussos_2024/variant_figures/roussos_2024.infant.GLU/rs10843507_profile_position.png",4,220,900)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0.090926201</v>
      </c>
      <c r="G771" t="n">
        <v>0.07207355707454791</v>
      </c>
      <c r="H771" t="n">
        <v>0.0180277036984276</v>
      </c>
      <c r="I771" t="n">
        <v>0.2428663481140745</v>
      </c>
      <c r="J771" t="n">
        <v>0.4966489561057342</v>
      </c>
      <c r="K771" t="n">
        <v>0.0312651772623505</v>
      </c>
      <c r="L771" t="b">
        <v>0</v>
      </c>
      <c r="M771" t="b">
        <v>0</v>
      </c>
      <c r="N771" t="inlineStr">
        <is>
          <t>alt</t>
        </is>
      </c>
      <c r="O771" t="n">
        <v>100</v>
      </c>
      <c r="P771" t="n">
        <v>0.01988</v>
      </c>
      <c r="Q771" t="n">
        <v>40</v>
      </c>
      <c r="R771" t="n">
        <v>0.1062</v>
      </c>
      <c r="S771">
        <f>IMAGE("https://mitra.stanford.edu/kundaje/oak/projects/neuro-variants/variant_position/credible/roussos_2024/variant_figures/roussos_2024.infant.GLU/rs7316162_count_position.png",4,220,900)</f>
        <v/>
      </c>
      <c r="T771">
        <f>IMAGE("https://mitra.stanford.edu/kundaje/oak/projects/neuro-variants/variant_position/credible/roussos_2024/variant_figures/roussos_2024.infant.GLU/rs7316162_profile_position.png",4,220,900)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0.0547731933999999</v>
      </c>
      <c r="G772" t="n">
        <v>0.1463761314193435</v>
      </c>
      <c r="H772" t="n">
        <v>0.0136693665694481</v>
      </c>
      <c r="I772" t="n">
        <v>0.4403225639620793</v>
      </c>
      <c r="J772" t="n">
        <v>0.7182675984920304</v>
      </c>
      <c r="K772" t="n">
        <v>0.0130610885293584</v>
      </c>
      <c r="L772" t="b">
        <v>0</v>
      </c>
      <c r="M772" t="b">
        <v>0</v>
      </c>
      <c r="N772" t="inlineStr">
        <is>
          <t>alt</t>
        </is>
      </c>
      <c r="O772" t="n">
        <v>5</v>
      </c>
      <c r="P772" t="n">
        <v>0.0001698</v>
      </c>
      <c r="Q772" t="n">
        <v>0</v>
      </c>
      <c r="R772" t="n">
        <v>0</v>
      </c>
      <c r="S772">
        <f>IMAGE("https://mitra.stanford.edu/kundaje/oak/projects/neuro-variants/variant_position/credible/roussos_2024/variant_figures/roussos_2024.infant.GLU/rs302350_count_position.png",4,220,900)</f>
        <v/>
      </c>
      <c r="T772">
        <f>IMAGE("https://mitra.stanford.edu/kundaje/oak/projects/neuro-variants/variant_position/credible/roussos_2024/variant_figures/roussos_2024.infant.GLU/rs302350_profile_position.png",4,220,900)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0.00725049204</v>
      </c>
      <c r="G773" t="n">
        <v>0.5715343210370639</v>
      </c>
      <c r="H773" t="n">
        <v>0.0524889018961061</v>
      </c>
      <c r="I773" t="n">
        <v>0.0061081670036998</v>
      </c>
      <c r="J773" t="n">
        <v>0.0829372340660066</v>
      </c>
      <c r="K773" t="n">
        <v>0.250422122188753</v>
      </c>
      <c r="L773" t="b">
        <v>1</v>
      </c>
      <c r="M773" t="b">
        <v>1</v>
      </c>
      <c r="N773" t="inlineStr">
        <is>
          <t>alt</t>
        </is>
      </c>
      <c r="O773" t="n">
        <v>25</v>
      </c>
      <c r="P773" t="n">
        <v>0.007202</v>
      </c>
      <c r="Q773" t="n">
        <v>-90</v>
      </c>
      <c r="R773" t="n">
        <v>0.1138</v>
      </c>
      <c r="S773">
        <f>IMAGE("https://mitra.stanford.edu/kundaje/oak/projects/neuro-variants/variant_position/credible/roussos_2024/variant_figures/roussos_2024.infant.GLU/rs369003_count_position.png",4,220,900)</f>
        <v/>
      </c>
      <c r="T773">
        <f>IMAGE("https://mitra.stanford.edu/kundaje/oak/projects/neuro-variants/variant_position/credible/roussos_2024/variant_figures/roussos_2024.infant.GLU/rs369003_profile_position.png",4,220,900)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-0.0309538422</v>
      </c>
      <c r="G774" t="n">
        <v>0.3099654232308953</v>
      </c>
      <c r="H774" t="n">
        <v>0.0090149499689743</v>
      </c>
      <c r="I774" t="n">
        <v>0.7686470321744255</v>
      </c>
      <c r="J774" t="n">
        <v>0.1153034678895037</v>
      </c>
      <c r="K774" t="n">
        <v>0.1913293976617064</v>
      </c>
      <c r="L774" t="b">
        <v>0</v>
      </c>
      <c r="M774" t="b">
        <v>0</v>
      </c>
      <c r="N774" t="inlineStr">
        <is>
          <t>ref</t>
        </is>
      </c>
      <c r="O774" t="n">
        <v>-35</v>
      </c>
      <c r="P774" t="n">
        <v>0.008059999999999999</v>
      </c>
      <c r="Q774" t="n">
        <v>-40</v>
      </c>
      <c r="R774" t="n">
        <v>0.0492</v>
      </c>
      <c r="S774">
        <f>IMAGE("https://mitra.stanford.edu/kundaje/oak/projects/neuro-variants/variant_position/credible/roussos_2024/variant_figures/roussos_2024.infant.GLU/rs625430_count_position.png",4,220,900)</f>
        <v/>
      </c>
      <c r="T774">
        <f>IMAGE("https://mitra.stanford.edu/kundaje/oak/projects/neuro-variants/variant_position/credible/roussos_2024/variant_figures/roussos_2024.infant.GLU/rs625430_profile_position.png",4,220,900)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0.0264728809999999</v>
      </c>
      <c r="G775" t="n">
        <v>0.3449972527423295</v>
      </c>
      <c r="H775" t="n">
        <v>0.008759857948347599</v>
      </c>
      <c r="I775" t="n">
        <v>0.8525837804640474</v>
      </c>
      <c r="J775" t="n">
        <v>0.023557618113274</v>
      </c>
      <c r="K775" t="n">
        <v>0.4991977527407475</v>
      </c>
      <c r="L775" t="b">
        <v>0</v>
      </c>
      <c r="M775" t="b">
        <v>0</v>
      </c>
      <c r="N775" t="inlineStr">
        <is>
          <t>alt</t>
        </is>
      </c>
      <c r="O775" t="n">
        <v>-90</v>
      </c>
      <c r="P775" t="n">
        <v>0.00734</v>
      </c>
      <c r="Q775" t="n">
        <v>-30</v>
      </c>
      <c r="R775" t="n">
        <v>0.0392</v>
      </c>
      <c r="S775">
        <f>IMAGE("https://mitra.stanford.edu/kundaje/oak/projects/neuro-variants/variant_position/credible/roussos_2024/variant_figures/roussos_2024.infant.GLU/rs58304678_count_position.png",4,220,900)</f>
        <v/>
      </c>
      <c r="T775">
        <f>IMAGE("https://mitra.stanford.edu/kundaje/oak/projects/neuro-variants/variant_position/credible/roussos_2024/variant_figures/roussos_2024.infant.GLU/rs58304678_profile_position.png",4,220,900)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0.165403964</v>
      </c>
      <c r="G776" t="n">
        <v>0.0168833020643307</v>
      </c>
      <c r="H776" t="n">
        <v>0.0259291460564543</v>
      </c>
      <c r="I776" t="n">
        <v>0.0905452115777414</v>
      </c>
      <c r="J776" t="n">
        <v>0.1214808527524857</v>
      </c>
      <c r="K776" t="n">
        <v>0.1755240046937059</v>
      </c>
      <c r="L776" t="b">
        <v>1</v>
      </c>
      <c r="M776" t="b">
        <v>0</v>
      </c>
      <c r="N776" t="inlineStr">
        <is>
          <t>alt</t>
        </is>
      </c>
      <c r="O776" t="n">
        <v>95</v>
      </c>
      <c r="P776" t="n">
        <v>0.008359999999999999</v>
      </c>
      <c r="Q776" t="n">
        <v>70</v>
      </c>
      <c r="R776" t="n">
        <v>0.09863</v>
      </c>
      <c r="S776">
        <f>IMAGE("https://mitra.stanford.edu/kundaje/oak/projects/neuro-variants/variant_position/credible/roussos_2024/variant_figures/roussos_2024.infant.GLU/rs10431276_count_position.png",4,220,900)</f>
        <v/>
      </c>
      <c r="T776">
        <f>IMAGE("https://mitra.stanford.edu/kundaje/oak/projects/neuro-variants/variant_position/credible/roussos_2024/variant_figures/roussos_2024.infant.GLU/rs10431276_profile_position.png",4,220,900)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0.00202261174</v>
      </c>
      <c r="G777" t="n">
        <v>0.6128062491580974</v>
      </c>
      <c r="H777" t="n">
        <v>0.0094986464266441</v>
      </c>
      <c r="I777" t="n">
        <v>0.7876813425815943</v>
      </c>
      <c r="J777" t="n">
        <v>0.0256476112789082</v>
      </c>
      <c r="K777" t="n">
        <v>0.4833022527696431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0.03436</v>
      </c>
      <c r="Q777" t="n">
        <v>45</v>
      </c>
      <c r="R777" t="n">
        <v>0.03992</v>
      </c>
      <c r="S777">
        <f>IMAGE("https://mitra.stanford.edu/kundaje/oak/projects/neuro-variants/variant_position/credible/roussos_2024/variant_figures/roussos_2024.infant.GLU/rs12229602_count_position.png",4,220,900)</f>
        <v/>
      </c>
      <c r="T777">
        <f>IMAGE("https://mitra.stanford.edu/kundaje/oak/projects/neuro-variants/variant_position/credible/roussos_2024/variant_figures/roussos_2024.infant.GLU/rs12229602_profile_position.png",4,220,900)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0.3320727719999999</v>
      </c>
      <c r="G778" t="n">
        <v>0.0021478689526157</v>
      </c>
      <c r="H778" t="n">
        <v>0.0763155187998482</v>
      </c>
      <c r="I778" t="n">
        <v>0.0008524050124337</v>
      </c>
      <c r="J778" t="n">
        <v>0.2806929165105051</v>
      </c>
      <c r="K778" t="n">
        <v>0.0745594997130837</v>
      </c>
      <c r="L778" t="b">
        <v>1</v>
      </c>
      <c r="M778" t="b">
        <v>1</v>
      </c>
      <c r="N778" t="inlineStr">
        <is>
          <t>alt</t>
        </is>
      </c>
      <c r="O778" t="n">
        <v>-35</v>
      </c>
      <c r="P778" t="n">
        <v>0.008545000000000001</v>
      </c>
      <c r="Q778" t="n">
        <v>60</v>
      </c>
      <c r="R778" t="n">
        <v>0.0813</v>
      </c>
      <c r="S778">
        <f>IMAGE("https://mitra.stanford.edu/kundaje/oak/projects/neuro-variants/variant_position/credible/roussos_2024/variant_figures/roussos_2024.infant.GLU/rs10843539_count_position.png",4,220,900)</f>
        <v/>
      </c>
      <c r="T778">
        <f>IMAGE("https://mitra.stanford.edu/kundaje/oak/projects/neuro-variants/variant_position/credible/roussos_2024/variant_figures/roussos_2024.infant.GLU/rs10843539_profile_position.png",4,220,900)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0.0586223468</v>
      </c>
      <c r="G779" t="n">
        <v>0.1321169703861595</v>
      </c>
      <c r="H779" t="n">
        <v>0.0352076395064387</v>
      </c>
      <c r="I779" t="n">
        <v>0.0330285421091739</v>
      </c>
      <c r="J779" t="n">
        <v>0.0106263365594479</v>
      </c>
      <c r="K779" t="n">
        <v>0.674501913242083</v>
      </c>
      <c r="L779" t="b">
        <v>0</v>
      </c>
      <c r="M779" t="b">
        <v>0</v>
      </c>
      <c r="N779" t="inlineStr">
        <is>
          <t>alt</t>
        </is>
      </c>
      <c r="O779" t="n">
        <v>95</v>
      </c>
      <c r="P779" t="n">
        <v>0.00809</v>
      </c>
      <c r="Q779" t="n">
        <v>40</v>
      </c>
      <c r="R779" t="n">
        <v>0.003021</v>
      </c>
      <c r="S779">
        <f>IMAGE("https://mitra.stanford.edu/kundaje/oak/projects/neuro-variants/variant_position/credible/roussos_2024/variant_figures/roussos_2024.infant.GLU/rs2351015_count_position.png",4,220,900)</f>
        <v/>
      </c>
      <c r="T779">
        <f>IMAGE("https://mitra.stanford.edu/kundaje/oak/projects/neuro-variants/variant_position/credible/roussos_2024/variant_figures/roussos_2024.infant.GLU/rs2351015_profile_position.png",4,220,900)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-0.0129651616</v>
      </c>
      <c r="G780" t="n">
        <v>0.573551926675938</v>
      </c>
      <c r="H780" t="n">
        <v>0.0334398079514299</v>
      </c>
      <c r="I780" t="n">
        <v>0.0399373991985055</v>
      </c>
      <c r="J780" t="n">
        <v>0.0296159527326439</v>
      </c>
      <c r="K780" t="n">
        <v>0.4578135061425388</v>
      </c>
      <c r="L780" t="b">
        <v>0</v>
      </c>
      <c r="M780" t="b">
        <v>0</v>
      </c>
      <c r="N780" t="inlineStr">
        <is>
          <t>ref</t>
        </is>
      </c>
      <c r="O780" t="n">
        <v>100</v>
      </c>
      <c r="P780" t="n">
        <v>0.01349</v>
      </c>
      <c r="Q780" t="n">
        <v>60</v>
      </c>
      <c r="R780" t="n">
        <v>0.05414</v>
      </c>
      <c r="S780">
        <f>IMAGE("https://mitra.stanford.edu/kundaje/oak/projects/neuro-variants/variant_position/credible/roussos_2024/variant_figures/roussos_2024.infant.GLU/rs4622345_count_position.png",4,220,900)</f>
        <v/>
      </c>
      <c r="T780">
        <f>IMAGE("https://mitra.stanford.edu/kundaje/oak/projects/neuro-variants/variant_position/credible/roussos_2024/variant_figures/roussos_2024.infant.GLU/rs4622345_profile_position.png",4,220,900)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0.0054430925</v>
      </c>
      <c r="G781" t="n">
        <v>0.6559141809005342</v>
      </c>
      <c r="H781" t="n">
        <v>0.0325296998311973</v>
      </c>
      <c r="I781" t="n">
        <v>0.0437681364456897</v>
      </c>
      <c r="J781" t="n">
        <v>0.0047498842567075</v>
      </c>
      <c r="K781" t="n">
        <v>0.7581054717485023</v>
      </c>
      <c r="L781" t="b">
        <v>0</v>
      </c>
      <c r="M781" t="b">
        <v>0</v>
      </c>
      <c r="N781" t="inlineStr">
        <is>
          <t>alt</t>
        </is>
      </c>
      <c r="O781" t="n">
        <v>25</v>
      </c>
      <c r="P781" t="n">
        <v>0.003952</v>
      </c>
      <c r="Q781" t="n">
        <v>100</v>
      </c>
      <c r="R781" t="n">
        <v>0.03998</v>
      </c>
      <c r="S781">
        <f>IMAGE("https://mitra.stanford.edu/kundaje/oak/projects/neuro-variants/variant_position/credible/roussos_2024/variant_figures/roussos_2024.infant.GLU/rs7970635_count_position.png",4,220,900)</f>
        <v/>
      </c>
      <c r="T781">
        <f>IMAGE("https://mitra.stanford.edu/kundaje/oak/projects/neuro-variants/variant_position/credible/roussos_2024/variant_figures/roussos_2024.infant.GLU/rs7970635_profile_position.png",4,220,900)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-0.042205316</v>
      </c>
      <c r="G782" t="n">
        <v>0.2127831829479868</v>
      </c>
      <c r="H782" t="n">
        <v>0.0089344908650737</v>
      </c>
      <c r="I782" t="n">
        <v>0.829182714723747</v>
      </c>
      <c r="J782" t="n">
        <v>0.06309773143146891</v>
      </c>
      <c r="K782" t="n">
        <v>0.3000477329964786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0.01184</v>
      </c>
      <c r="Q782" t="n">
        <v>-100</v>
      </c>
      <c r="R782" t="n">
        <v>0.109</v>
      </c>
      <c r="S782">
        <f>IMAGE("https://mitra.stanford.edu/kundaje/oak/projects/neuro-variants/variant_position/credible/roussos_2024/variant_figures/roussos_2024.infant.GLU/rs114974785_count_position.png",4,220,900)</f>
        <v/>
      </c>
      <c r="T782">
        <f>IMAGE("https://mitra.stanford.edu/kundaje/oak/projects/neuro-variants/variant_position/credible/roussos_2024/variant_figures/roussos_2024.infant.GLU/rs114974785_profile_position.png",4,220,900)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-0.029353828</v>
      </c>
      <c r="G783" t="n">
        <v>0.2121605533807631</v>
      </c>
      <c r="H783" t="n">
        <v>0.0172891166659783</v>
      </c>
      <c r="I783" t="n">
        <v>0.2636692976500686</v>
      </c>
      <c r="J783" t="n">
        <v>0.2592197799775127</v>
      </c>
      <c r="K783" t="n">
        <v>0.08432421833958451</v>
      </c>
      <c r="L783" t="b">
        <v>0</v>
      </c>
      <c r="M783" t="b">
        <v>0</v>
      </c>
      <c r="N783" t="inlineStr">
        <is>
          <t>ref</t>
        </is>
      </c>
      <c r="O783" t="n">
        <v>-20</v>
      </c>
      <c r="P783" t="n">
        <v>0.00354</v>
      </c>
      <c r="Q783" t="n">
        <v>30</v>
      </c>
      <c r="R783" t="n">
        <v>0.0083</v>
      </c>
      <c r="S783">
        <f>IMAGE("https://mitra.stanford.edu/kundaje/oak/projects/neuro-variants/variant_position/credible/roussos_2024/variant_figures/roussos_2024.infant.GLU/rs706790_count_position.png",4,220,900)</f>
        <v/>
      </c>
      <c r="T783">
        <f>IMAGE("https://mitra.stanford.edu/kundaje/oak/projects/neuro-variants/variant_position/credible/roussos_2024/variant_figures/roussos_2024.infant.GLU/rs706790_profile_position.png",4,220,900)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0.1339510752</v>
      </c>
      <c r="G784" t="n">
        <v>0.0274556486737638</v>
      </c>
      <c r="H784" t="n">
        <v>0.0198713968975054</v>
      </c>
      <c r="I784" t="n">
        <v>0.1985703280181491</v>
      </c>
      <c r="J784" t="n">
        <v>0.649663793293503</v>
      </c>
      <c r="K784" t="n">
        <v>0.0174943653394717</v>
      </c>
      <c r="L784" t="b">
        <v>0</v>
      </c>
      <c r="M784" t="b">
        <v>0</v>
      </c>
      <c r="N784" t="inlineStr">
        <is>
          <t>alt</t>
        </is>
      </c>
      <c r="O784" t="n">
        <v>100</v>
      </c>
      <c r="P784" t="n">
        <v>0.008999999999999999</v>
      </c>
      <c r="Q784" t="n">
        <v>-65</v>
      </c>
      <c r="R784" t="n">
        <v>0.06055</v>
      </c>
      <c r="S784">
        <f>IMAGE("https://mitra.stanford.edu/kundaje/oak/projects/neuro-variants/variant_position/credible/roussos_2024/variant_figures/roussos_2024.infant.GLU/rs7315690_count_position.png",4,220,900)</f>
        <v/>
      </c>
      <c r="T784">
        <f>IMAGE("https://mitra.stanford.edu/kundaje/oak/projects/neuro-variants/variant_position/credible/roussos_2024/variant_figures/roussos_2024.infant.GLU/rs7315690_profile_position.png",4,220,900)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-0.0180554019</v>
      </c>
      <c r="G785" t="n">
        <v>0.4619601881001228</v>
      </c>
      <c r="H785" t="n">
        <v>0.0129622935291695</v>
      </c>
      <c r="I785" t="n">
        <v>0.4847774864444226</v>
      </c>
      <c r="J785" t="n">
        <v>0.008235410833572101</v>
      </c>
      <c r="K785" t="n">
        <v>0.6855883813031625</v>
      </c>
      <c r="L785" t="b">
        <v>0</v>
      </c>
      <c r="M785" t="b">
        <v>0</v>
      </c>
      <c r="N785" t="inlineStr">
        <is>
          <t>ref</t>
        </is>
      </c>
      <c r="O785" t="n">
        <v>-75</v>
      </c>
      <c r="P785" t="n">
        <v>0.0431</v>
      </c>
      <c r="Q785" t="n">
        <v>55</v>
      </c>
      <c r="R785" t="n">
        <v>0.0545</v>
      </c>
      <c r="S785">
        <f>IMAGE("https://mitra.stanford.edu/kundaje/oak/projects/neuro-variants/variant_position/credible/roussos_2024/variant_figures/roussos_2024.infant.GLU/rs7138420_count_position.png",4,220,900)</f>
        <v/>
      </c>
      <c r="T785">
        <f>IMAGE("https://mitra.stanford.edu/kundaje/oak/projects/neuro-variants/variant_position/credible/roussos_2024/variant_figures/roussos_2024.infant.GLU/rs7138420_profile_position.png",4,220,900)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0.01899835086</v>
      </c>
      <c r="G786" t="n">
        <v>0.4641566751484068</v>
      </c>
      <c r="H786" t="n">
        <v>0.0099453709988253</v>
      </c>
      <c r="I786" t="n">
        <v>0.7305893427754049</v>
      </c>
      <c r="J786" t="n">
        <v>0.0711986595824422</v>
      </c>
      <c r="K786" t="n">
        <v>0.2674252858095711</v>
      </c>
      <c r="L786" t="b">
        <v>0</v>
      </c>
      <c r="M786" t="b">
        <v>0</v>
      </c>
      <c r="N786" t="inlineStr">
        <is>
          <t>alt</t>
        </is>
      </c>
      <c r="O786" t="n">
        <v>-100</v>
      </c>
      <c r="P786" t="n">
        <v>0.05176</v>
      </c>
      <c r="Q786" t="n">
        <v>-80</v>
      </c>
      <c r="R786" t="n">
        <v>0.1624</v>
      </c>
      <c r="S786">
        <f>IMAGE("https://mitra.stanford.edu/kundaje/oak/projects/neuro-variants/variant_position/credible/roussos_2024/variant_figures/roussos_2024.infant.GLU/rs12425229_count_position.png",4,220,900)</f>
        <v/>
      </c>
      <c r="T786">
        <f>IMAGE("https://mitra.stanford.edu/kundaje/oak/projects/neuro-variants/variant_position/credible/roussos_2024/variant_figures/roussos_2024.infant.GLU/rs12425229_profile_position.png",4,220,900)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0.30968483</v>
      </c>
      <c r="G787" t="n">
        <v>0.0029702216121095</v>
      </c>
      <c r="H787" t="n">
        <v>0.0408742517687217</v>
      </c>
      <c r="I787" t="n">
        <v>0.0187573425337755</v>
      </c>
      <c r="J787" t="n">
        <v>0.1768579554222976</v>
      </c>
      <c r="K787" t="n">
        <v>0.1230168629468054</v>
      </c>
      <c r="L787" t="b">
        <v>1</v>
      </c>
      <c r="M787" t="b">
        <v>1</v>
      </c>
      <c r="N787" t="inlineStr">
        <is>
          <t>alt</t>
        </is>
      </c>
      <c r="O787" t="n">
        <v>-15</v>
      </c>
      <c r="P787" t="n">
        <v>0.001701</v>
      </c>
      <c r="Q787" t="n">
        <v>-85</v>
      </c>
      <c r="R787" t="n">
        <v>0.08984</v>
      </c>
      <c r="S787">
        <f>IMAGE("https://mitra.stanford.edu/kundaje/oak/projects/neuro-variants/variant_position/credible/roussos_2024/variant_figures/roussos_2024.infant.GLU/rs10783344_count_position.png",4,220,900)</f>
        <v/>
      </c>
      <c r="T787">
        <f>IMAGE("https://mitra.stanford.edu/kundaje/oak/projects/neuro-variants/variant_position/credible/roussos_2024/variant_figures/roussos_2024.infant.GLU/rs10783344_profile_position.png",4,220,900)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0.0698829154</v>
      </c>
      <c r="G788" t="n">
        <v>0.0997640975694237</v>
      </c>
      <c r="H788" t="n">
        <v>0.0147049673703808</v>
      </c>
      <c r="I788" t="n">
        <v>0.3834714167253192</v>
      </c>
      <c r="J788" t="n">
        <v>0.0188782821490773</v>
      </c>
      <c r="K788" t="n">
        <v>0.5449635716707119</v>
      </c>
      <c r="L788" t="b">
        <v>0</v>
      </c>
      <c r="M788" t="b">
        <v>0</v>
      </c>
      <c r="N788" t="inlineStr">
        <is>
          <t>alt</t>
        </is>
      </c>
      <c r="O788" t="n">
        <v>-100</v>
      </c>
      <c r="P788" t="n">
        <v>0.004898</v>
      </c>
      <c r="Q788" t="n">
        <v>-90</v>
      </c>
      <c r="R788" t="n">
        <v>0.08545</v>
      </c>
      <c r="S788">
        <f>IMAGE("https://mitra.stanford.edu/kundaje/oak/projects/neuro-variants/variant_position/credible/roussos_2024/variant_figures/roussos_2024.infant.GLU/rs1972611_count_position.png",4,220,900)</f>
        <v/>
      </c>
      <c r="T788">
        <f>IMAGE("https://mitra.stanford.edu/kundaje/oak/projects/neuro-variants/variant_position/credible/roussos_2024/variant_figures/roussos_2024.infant.GLU/rs1972611_profile_position.png",4,220,900)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-0.09296338799999999</v>
      </c>
      <c r="G789" t="n">
        <v>0.0585922319912987</v>
      </c>
      <c r="H789" t="n">
        <v>0.0138612780770781</v>
      </c>
      <c r="I789" t="n">
        <v>0.4262495556428601</v>
      </c>
      <c r="J789" t="n">
        <v>0.0199927247073347</v>
      </c>
      <c r="K789" t="n">
        <v>0.5329612333265954</v>
      </c>
      <c r="L789" t="b">
        <v>0</v>
      </c>
      <c r="M789" t="b">
        <v>0</v>
      </c>
      <c r="N789" t="inlineStr">
        <is>
          <t>ref</t>
        </is>
      </c>
      <c r="O789" t="n">
        <v>-95</v>
      </c>
      <c r="P789" t="n">
        <v>0.0779</v>
      </c>
      <c r="Q789" t="n">
        <v>-45</v>
      </c>
      <c r="R789" t="n">
        <v>0.0825</v>
      </c>
      <c r="S789">
        <f>IMAGE("https://mitra.stanford.edu/kundaje/oak/projects/neuro-variants/variant_position/credible/roussos_2024/variant_figures/roussos_2024.infant.GLU/rs67138019_count_position.png",4,220,900)</f>
        <v/>
      </c>
      <c r="T789">
        <f>IMAGE("https://mitra.stanford.edu/kundaje/oak/projects/neuro-variants/variant_position/credible/roussos_2024/variant_figures/roussos_2024.infant.GLU/rs67138019_profile_position.png",4,220,900)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-0.108312778</v>
      </c>
      <c r="G790" t="n">
        <v>0.0495956726300868</v>
      </c>
      <c r="H790" t="n">
        <v>0.0213593155499988</v>
      </c>
      <c r="I790" t="n">
        <v>0.1624964899640879</v>
      </c>
      <c r="J790" t="n">
        <v>0.2978912674441676</v>
      </c>
      <c r="K790" t="n">
        <v>0.0687813260602585</v>
      </c>
      <c r="L790" t="b">
        <v>0</v>
      </c>
      <c r="M790" t="b">
        <v>0</v>
      </c>
      <c r="N790" t="inlineStr">
        <is>
          <t>ref</t>
        </is>
      </c>
      <c r="O790" t="n">
        <v>-65</v>
      </c>
      <c r="P790" t="n">
        <v>0.06809999999999999</v>
      </c>
      <c r="Q790" t="n">
        <v>-45</v>
      </c>
      <c r="R790" t="n">
        <v>0.10364</v>
      </c>
      <c r="S790">
        <f>IMAGE("https://mitra.stanford.edu/kundaje/oak/projects/neuro-variants/variant_position/credible/roussos_2024/variant_figures/roussos_2024.infant.GLU/rs12832940_count_position.png",4,220,900)</f>
        <v/>
      </c>
      <c r="T790">
        <f>IMAGE("https://mitra.stanford.edu/kundaje/oak/projects/neuro-variants/variant_position/credible/roussos_2024/variant_figures/roussos_2024.infant.GLU/rs12832940_profile_position.png",4,220,900)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-0.0128596785999999</v>
      </c>
      <c r="G791" t="n">
        <v>0.5717595809743806</v>
      </c>
      <c r="H791" t="n">
        <v>0.0482674461472067</v>
      </c>
      <c r="I791" t="n">
        <v>0.009053397444723501</v>
      </c>
      <c r="J791" t="n">
        <v>0.0008157146321567</v>
      </c>
      <c r="K791" t="n">
        <v>0.9016444197113844</v>
      </c>
      <c r="L791" t="b">
        <v>0</v>
      </c>
      <c r="M791" t="b">
        <v>0</v>
      </c>
      <c r="N791" t="inlineStr">
        <is>
          <t>ref</t>
        </is>
      </c>
      <c r="O791" t="n">
        <v>-40</v>
      </c>
      <c r="P791" t="n">
        <v>0.02869</v>
      </c>
      <c r="Q791" t="n">
        <v>95</v>
      </c>
      <c r="R791" t="n">
        <v>0.07199999999999999</v>
      </c>
      <c r="S791">
        <f>IMAGE("https://mitra.stanford.edu/kundaje/oak/projects/neuro-variants/variant_position/credible/roussos_2024/variant_figures/roussos_2024.infant.GLU/rs7311973_count_position.png",4,220,900)</f>
        <v/>
      </c>
      <c r="T791">
        <f>IMAGE("https://mitra.stanford.edu/kundaje/oak/projects/neuro-variants/variant_position/credible/roussos_2024/variant_figures/roussos_2024.infant.GLU/rs7311973_profile_position.png",4,220,900)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0.00342993292</v>
      </c>
      <c r="G792" t="n">
        <v>0.6365928300114332</v>
      </c>
      <c r="H792" t="n">
        <v>0.0607667251035439</v>
      </c>
      <c r="I792" t="n">
        <v>0.0030179881471065</v>
      </c>
      <c r="J792" t="n">
        <v>0.008630040344804701</v>
      </c>
      <c r="K792" t="n">
        <v>0.6827135851511524</v>
      </c>
      <c r="L792" t="b">
        <v>0</v>
      </c>
      <c r="M792" t="b">
        <v>0</v>
      </c>
      <c r="N792" t="inlineStr">
        <is>
          <t>alt</t>
        </is>
      </c>
      <c r="O792" t="n">
        <v>100</v>
      </c>
      <c r="P792" t="n">
        <v>0.00415</v>
      </c>
      <c r="Q792" t="n">
        <v>100</v>
      </c>
      <c r="R792" t="n">
        <v>0.043</v>
      </c>
      <c r="S792">
        <f>IMAGE("https://mitra.stanford.edu/kundaje/oak/projects/neuro-variants/variant_position/credible/roussos_2024/variant_figures/roussos_2024.infant.GLU/rs11169393_count_position.png",4,220,900)</f>
        <v/>
      </c>
      <c r="T792">
        <f>IMAGE("https://mitra.stanford.edu/kundaje/oak/projects/neuro-variants/variant_position/credible/roussos_2024/variant_figures/roussos_2024.infant.GLU/rs11169393_profile_position.png",4,220,900)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0.0135455446</v>
      </c>
      <c r="G793" t="n">
        <v>0.5439305512643422</v>
      </c>
      <c r="H793" t="n">
        <v>0.0374602326523637</v>
      </c>
      <c r="I793" t="n">
        <v>0.0263426281918761</v>
      </c>
      <c r="J793" t="n">
        <v>0.0011464097533013</v>
      </c>
      <c r="K793" t="n">
        <v>0.8827084113169761</v>
      </c>
      <c r="L793" t="b">
        <v>0</v>
      </c>
      <c r="M793" t="b">
        <v>0</v>
      </c>
      <c r="N793" t="inlineStr">
        <is>
          <t>alt</t>
        </is>
      </c>
      <c r="O793" t="n">
        <v>80</v>
      </c>
      <c r="P793" t="n">
        <v>0.00415</v>
      </c>
      <c r="Q793" t="n">
        <v>85</v>
      </c>
      <c r="R793" t="n">
        <v>0.1008</v>
      </c>
      <c r="S793">
        <f>IMAGE("https://mitra.stanford.edu/kundaje/oak/projects/neuro-variants/variant_position/credible/roussos_2024/variant_figures/roussos_2024.infant.GLU/rs12578525_count_position.png",4,220,900)</f>
        <v/>
      </c>
      <c r="T793">
        <f>IMAGE("https://mitra.stanford.edu/kundaje/oak/projects/neuro-variants/variant_position/credible/roussos_2024/variant_figures/roussos_2024.infant.GLU/rs12578525_profile_position.png",4,220,900)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-0.00783312846</v>
      </c>
      <c r="G794" t="n">
        <v>0.6142988036178969</v>
      </c>
      <c r="H794" t="n">
        <v>0.038193625589486</v>
      </c>
      <c r="I794" t="n">
        <v>0.0245602613692075</v>
      </c>
      <c r="J794" t="n">
        <v>0.0040466059657399</v>
      </c>
      <c r="K794" t="n">
        <v>0.7700248535910049</v>
      </c>
      <c r="L794" t="b">
        <v>0</v>
      </c>
      <c r="M794" t="b">
        <v>0</v>
      </c>
      <c r="N794" t="inlineStr">
        <is>
          <t>ref</t>
        </is>
      </c>
      <c r="O794" t="n">
        <v>35</v>
      </c>
      <c r="P794" t="n">
        <v>0.002274</v>
      </c>
      <c r="Q794" t="n">
        <v>-95</v>
      </c>
      <c r="R794" t="n">
        <v>0.05505</v>
      </c>
      <c r="S794">
        <f>IMAGE("https://mitra.stanford.edu/kundaje/oak/projects/neuro-variants/variant_position/credible/roussos_2024/variant_figures/roussos_2024.infant.GLU/rs140587031_count_position.png",4,220,900)</f>
        <v/>
      </c>
      <c r="T794">
        <f>IMAGE("https://mitra.stanford.edu/kundaje/oak/projects/neuro-variants/variant_position/credible/roussos_2024/variant_figures/roussos_2024.infant.GLU/rs140587031_profile_position.png",4,220,900)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0.0868836322</v>
      </c>
      <c r="G795" t="n">
        <v>0.06409791592797801</v>
      </c>
      <c r="H795" t="n">
        <v>0.022551542312607</v>
      </c>
      <c r="I795" t="n">
        <v>0.1346880729566557</v>
      </c>
      <c r="J795" t="n">
        <v>0.38847747966225</v>
      </c>
      <c r="K795" t="n">
        <v>0.0476217514082694</v>
      </c>
      <c r="L795" t="b">
        <v>0</v>
      </c>
      <c r="M795" t="b">
        <v>0</v>
      </c>
      <c r="N795" t="inlineStr">
        <is>
          <t>alt</t>
        </is>
      </c>
      <c r="O795" t="n">
        <v>-30</v>
      </c>
      <c r="P795" t="n">
        <v>0.000702</v>
      </c>
      <c r="Q795" t="n">
        <v>-10</v>
      </c>
      <c r="R795" t="n">
        <v>0.02051</v>
      </c>
      <c r="S795">
        <f>IMAGE("https://mitra.stanford.edu/kundaje/oak/projects/neuro-variants/variant_position/credible/roussos_2024/variant_figures/roussos_2024.infant.GLU/rs61928076_count_position.png",4,220,900)</f>
        <v/>
      </c>
      <c r="T795">
        <f>IMAGE("https://mitra.stanford.edu/kundaje/oak/projects/neuro-variants/variant_position/credible/roussos_2024/variant_figures/roussos_2024.infant.GLU/rs61928076_profile_position.png",4,220,900)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0.072217826</v>
      </c>
      <c r="G796" t="n">
        <v>0.09860213553898831</v>
      </c>
      <c r="H796" t="n">
        <v>0.0142376815524546</v>
      </c>
      <c r="I796" t="n">
        <v>0.4120986320888101</v>
      </c>
      <c r="J796" t="n">
        <v>0.3005291121938314</v>
      </c>
      <c r="K796" t="n">
        <v>0.06919276540284799</v>
      </c>
      <c r="L796" t="b">
        <v>0</v>
      </c>
      <c r="M796" t="b">
        <v>0</v>
      </c>
      <c r="N796" t="inlineStr">
        <is>
          <t>alt</t>
        </is>
      </c>
      <c r="O796" t="n">
        <v>-100</v>
      </c>
      <c r="P796" t="n">
        <v>0.0476</v>
      </c>
      <c r="Q796" t="n">
        <v>-75</v>
      </c>
      <c r="R796" t="n">
        <v>0.4705</v>
      </c>
      <c r="S796">
        <f>IMAGE("https://mitra.stanford.edu/kundaje/oak/projects/neuro-variants/variant_position/credible/roussos_2024/variant_figures/roussos_2024.infant.GLU/rs11170562_count_position.png",4,220,900)</f>
        <v/>
      </c>
      <c r="T796">
        <f>IMAGE("https://mitra.stanford.edu/kundaje/oak/projects/neuro-variants/variant_position/credible/roussos_2024/variant_figures/roussos_2024.infant.GLU/rs11170562_profile_position.png",4,220,900)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0.01221370674</v>
      </c>
      <c r="G797" t="n">
        <v>0.5432982658950936</v>
      </c>
      <c r="H797" t="n">
        <v>0.0133653852808064</v>
      </c>
      <c r="I797" t="n">
        <v>0.4590538502976219</v>
      </c>
      <c r="J797" t="n">
        <v>0.0116514914349963</v>
      </c>
      <c r="K797" t="n">
        <v>0.6361601465621837</v>
      </c>
      <c r="L797" t="b">
        <v>0</v>
      </c>
      <c r="M797" t="b">
        <v>0</v>
      </c>
      <c r="N797" t="inlineStr">
        <is>
          <t>alt</t>
        </is>
      </c>
      <c r="O797" t="n">
        <v>-60</v>
      </c>
      <c r="P797" t="n">
        <v>0.02905</v>
      </c>
      <c r="Q797" t="n">
        <v>-80</v>
      </c>
      <c r="R797" t="n">
        <v>0.0891</v>
      </c>
      <c r="S797">
        <f>IMAGE("https://mitra.stanford.edu/kundaje/oak/projects/neuro-variants/variant_position/credible/roussos_2024/variant_figures/roussos_2024.infant.GLU/rs7307025_count_position.png",4,220,900)</f>
        <v/>
      </c>
      <c r="T797">
        <f>IMAGE("https://mitra.stanford.edu/kundaje/oak/projects/neuro-variants/variant_position/credible/roussos_2024/variant_figures/roussos_2024.infant.GLU/rs7307025_profile_position.png",4,220,900)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0.428273478</v>
      </c>
      <c r="G798" t="n">
        <v>0.0008319535749881</v>
      </c>
      <c r="H798" t="n">
        <v>0.0812417836243394</v>
      </c>
      <c r="I798" t="n">
        <v>0.0007205098761325</v>
      </c>
      <c r="J798" t="n">
        <v>0.1701690954386119</v>
      </c>
      <c r="K798" t="n">
        <v>0.1376822595957662</v>
      </c>
      <c r="L798" t="b">
        <v>1</v>
      </c>
      <c r="M798" t="b">
        <v>1</v>
      </c>
      <c r="N798" t="inlineStr">
        <is>
          <t>alt</t>
        </is>
      </c>
      <c r="O798" t="n">
        <v>-100</v>
      </c>
      <c r="P798" t="n">
        <v>0.06152</v>
      </c>
      <c r="Q798" t="n">
        <v>-100</v>
      </c>
      <c r="R798" t="n">
        <v>0.09875</v>
      </c>
      <c r="S798">
        <f>IMAGE("https://mitra.stanford.edu/kundaje/oak/projects/neuro-variants/variant_position/credible/roussos_2024/variant_figures/roussos_2024.infant.GLU/rs55844955_count_position.png",4,220,900)</f>
        <v/>
      </c>
      <c r="T798">
        <f>IMAGE("https://mitra.stanford.edu/kundaje/oak/projects/neuro-variants/variant_position/credible/roussos_2024/variant_figures/roussos_2024.infant.GLU/rs55844955_profile_position.png",4,220,900)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-0.0032917875399999</v>
      </c>
      <c r="G799" t="n">
        <v>0.8141192925906162</v>
      </c>
      <c r="H799" t="n">
        <v>0.0063022587444825</v>
      </c>
      <c r="I799" t="n">
        <v>0.9805621294131546</v>
      </c>
      <c r="J799" t="n">
        <v>0.0331852554068651</v>
      </c>
      <c r="K799" t="n">
        <v>0.4398537285073763</v>
      </c>
      <c r="L799" t="b">
        <v>0</v>
      </c>
      <c r="M799" t="b">
        <v>0</v>
      </c>
      <c r="N799" t="inlineStr">
        <is>
          <t>ref</t>
        </is>
      </c>
      <c r="O799" t="n">
        <v>90</v>
      </c>
      <c r="P799" t="n">
        <v>0.0121</v>
      </c>
      <c r="Q799" t="n">
        <v>45</v>
      </c>
      <c r="R799" t="n">
        <v>0.0414</v>
      </c>
      <c r="S799">
        <f>IMAGE("https://mitra.stanford.edu/kundaje/oak/projects/neuro-variants/variant_position/credible/roussos_2024/variant_figures/roussos_2024.infant.GLU/rs7973727_count_position.png",4,220,900)</f>
        <v/>
      </c>
      <c r="T799">
        <f>IMAGE("https://mitra.stanford.edu/kundaje/oak/projects/neuro-variants/variant_position/credible/roussos_2024/variant_figures/roussos_2024.infant.GLU/rs7973727_profile_position.png",4,220,900)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0.02482938932</v>
      </c>
      <c r="G800" t="n">
        <v>0.3548156313912999</v>
      </c>
      <c r="H800" t="n">
        <v>0.0288084767771399</v>
      </c>
      <c r="I800" t="n">
        <v>0.0655867365219725</v>
      </c>
      <c r="J800" t="n">
        <v>0.0170054454463281</v>
      </c>
      <c r="K800" t="n">
        <v>0.5653448577413667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0.0116</v>
      </c>
      <c r="Q800" t="n">
        <v>5</v>
      </c>
      <c r="R800" t="n">
        <v>0.01004</v>
      </c>
      <c r="S800">
        <f>IMAGE("https://mitra.stanford.edu/kundaje/oak/projects/neuro-variants/variant_position/credible/roussos_2024/variant_figures/roussos_2024.infant.GLU/rs61924145_count_position.png",4,220,900)</f>
        <v/>
      </c>
      <c r="T800">
        <f>IMAGE("https://mitra.stanford.edu/kundaje/oak/projects/neuro-variants/variant_position/credible/roussos_2024/variant_figures/roussos_2024.infant.GLU/rs61924145_profile_position.png",4,220,900)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0.0200357046</v>
      </c>
      <c r="G801" t="n">
        <v>0.436047355469469</v>
      </c>
      <c r="H801" t="n">
        <v>0.0122589168315739</v>
      </c>
      <c r="I801" t="n">
        <v>0.5404285864485077</v>
      </c>
      <c r="J801" t="n">
        <v>0.0132774091139574</v>
      </c>
      <c r="K801" t="n">
        <v>0.6239325928564562</v>
      </c>
      <c r="L801" t="b">
        <v>0</v>
      </c>
      <c r="M801" t="b">
        <v>0</v>
      </c>
      <c r="N801" t="inlineStr">
        <is>
          <t>alt</t>
        </is>
      </c>
      <c r="O801" t="n">
        <v>15</v>
      </c>
      <c r="P801" t="n">
        <v>0.005615</v>
      </c>
      <c r="Q801" t="n">
        <v>-30</v>
      </c>
      <c r="R801" t="n">
        <v>0.1265</v>
      </c>
      <c r="S801">
        <f>IMAGE("https://mitra.stanford.edu/kundaje/oak/projects/neuro-variants/variant_position/credible/roussos_2024/variant_figures/roussos_2024.infant.GLU/rs12302711_count_position.png",4,220,900)</f>
        <v/>
      </c>
      <c r="T801">
        <f>IMAGE("https://mitra.stanford.edu/kundaje/oak/projects/neuro-variants/variant_position/credible/roussos_2024/variant_figures/roussos_2024.infant.GLU/rs12302711_profile_position.png",4,220,900)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-0.08321042100000001</v>
      </c>
      <c r="G802" t="n">
        <v>0.07511331208274841</v>
      </c>
      <c r="H802" t="n">
        <v>0.037127191460484</v>
      </c>
      <c r="I802" t="n">
        <v>0.0270643211470538</v>
      </c>
      <c r="J802" t="n">
        <v>0.092398421481955</v>
      </c>
      <c r="K802" t="n">
        <v>0.2225541539028756</v>
      </c>
      <c r="L802" t="b">
        <v>0</v>
      </c>
      <c r="M802" t="b">
        <v>0</v>
      </c>
      <c r="N802" t="inlineStr">
        <is>
          <t>ref</t>
        </is>
      </c>
      <c r="O802" t="n">
        <v>30</v>
      </c>
      <c r="P802" t="n">
        <v>0.00361</v>
      </c>
      <c r="Q802" t="n">
        <v>-10</v>
      </c>
      <c r="R802" t="n">
        <v>0.03735</v>
      </c>
      <c r="S802">
        <f>IMAGE("https://mitra.stanford.edu/kundaje/oak/projects/neuro-variants/variant_position/credible/roussos_2024/variant_figures/roussos_2024.infant.GLU/rs17110384_count_position.png",4,220,900)</f>
        <v/>
      </c>
      <c r="T802">
        <f>IMAGE("https://mitra.stanford.edu/kundaje/oak/projects/neuro-variants/variant_position/credible/roussos_2024/variant_figures/roussos_2024.infant.GLU/rs17110384_profile_position.png",4,220,900)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-0.176337594</v>
      </c>
      <c r="G803" t="n">
        <v>0.014770628792286</v>
      </c>
      <c r="H803" t="n">
        <v>0.0293361605497678</v>
      </c>
      <c r="I803" t="n">
        <v>0.0622576675128199</v>
      </c>
      <c r="J803" t="n">
        <v>0.0916521528252386</v>
      </c>
      <c r="K803" t="n">
        <v>0.2260768897288489</v>
      </c>
      <c r="L803" t="b">
        <v>1</v>
      </c>
      <c r="M803" t="b">
        <v>0</v>
      </c>
      <c r="N803" t="inlineStr">
        <is>
          <t>ref</t>
        </is>
      </c>
      <c r="O803" t="n">
        <v>-15</v>
      </c>
      <c r="P803" t="n">
        <v>0.01746</v>
      </c>
      <c r="Q803" t="n">
        <v>-40</v>
      </c>
      <c r="R803" t="n">
        <v>0.1335</v>
      </c>
      <c r="S803">
        <f>IMAGE("https://mitra.stanford.edu/kundaje/oak/projects/neuro-variants/variant_position/credible/roussos_2024/variant_figures/roussos_2024.infant.GLU/rs17110387_count_position.png",4,220,900)</f>
        <v/>
      </c>
      <c r="T803">
        <f>IMAGE("https://mitra.stanford.edu/kundaje/oak/projects/neuro-variants/variant_position/credible/roussos_2024/variant_figures/roussos_2024.infant.GLU/rs17110387_profile_position.png",4,220,900)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0.135957512</v>
      </c>
      <c r="G804" t="n">
        <v>0.0270700626727531</v>
      </c>
      <c r="H804" t="n">
        <v>0.0353081794685934</v>
      </c>
      <c r="I804" t="n">
        <v>0.0328554545109025</v>
      </c>
      <c r="J804" t="n">
        <v>0.0431854758702792</v>
      </c>
      <c r="K804" t="n">
        <v>0.3731780850981639</v>
      </c>
      <c r="L804" t="b">
        <v>0</v>
      </c>
      <c r="M804" t="b">
        <v>0</v>
      </c>
      <c r="N804" t="inlineStr">
        <is>
          <t>alt</t>
        </is>
      </c>
      <c r="O804" t="n">
        <v>50</v>
      </c>
      <c r="P804" t="n">
        <v>0.0119</v>
      </c>
      <c r="Q804" t="n">
        <v>-75</v>
      </c>
      <c r="R804" t="n">
        <v>0.042</v>
      </c>
      <c r="S804">
        <f>IMAGE("https://mitra.stanford.edu/kundaje/oak/projects/neuro-variants/variant_position/credible/roussos_2024/variant_figures/roussos_2024.infant.GLU/rs11178985_count_position.png",4,220,900)</f>
        <v/>
      </c>
      <c r="T804">
        <f>IMAGE("https://mitra.stanford.edu/kundaje/oak/projects/neuro-variants/variant_position/credible/roussos_2024/variant_figures/roussos_2024.infant.GLU/rs11178985_profile_position.png",4,220,900)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-0.00656008334</v>
      </c>
      <c r="G805" t="n">
        <v>0.6858116867538173</v>
      </c>
      <c r="H805" t="n">
        <v>0.0142678651987312</v>
      </c>
      <c r="I805" t="n">
        <v>0.4008343391401541</v>
      </c>
      <c r="J805" t="n">
        <v>0.00873365814943</v>
      </c>
      <c r="K805" t="n">
        <v>0.6932421948622182</v>
      </c>
      <c r="L805" t="b">
        <v>0</v>
      </c>
      <c r="M805" t="b">
        <v>0</v>
      </c>
      <c r="N805" t="inlineStr">
        <is>
          <t>ref</t>
        </is>
      </c>
      <c r="O805" t="n">
        <v>35</v>
      </c>
      <c r="P805" t="n">
        <v>0.005096</v>
      </c>
      <c r="Q805" t="n">
        <v>95</v>
      </c>
      <c r="R805" t="n">
        <v>0.1653</v>
      </c>
      <c r="S805">
        <f>IMAGE("https://mitra.stanford.edu/kundaje/oak/projects/neuro-variants/variant_position/credible/roussos_2024/variant_figures/roussos_2024.infant.GLU/rs10506643_count_position.png",4,220,900)</f>
        <v/>
      </c>
      <c r="T805">
        <f>IMAGE("https://mitra.stanford.edu/kundaje/oak/projects/neuro-variants/variant_position/credible/roussos_2024/variant_figures/roussos_2024.infant.GLU/rs10506643_profile_position.png",4,220,900)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-0.0043036289</v>
      </c>
      <c r="G806" t="n">
        <v>0.8181972776497765</v>
      </c>
      <c r="H806" t="n">
        <v>0.0051331713711567</v>
      </c>
      <c r="I806" t="n">
        <v>0.9979895946400444</v>
      </c>
      <c r="J806" t="n">
        <v>0.0010438942657465</v>
      </c>
      <c r="K806" t="n">
        <v>0.8823771205131703</v>
      </c>
      <c r="L806" t="b">
        <v>0</v>
      </c>
      <c r="M806" t="b">
        <v>0</v>
      </c>
      <c r="N806" t="inlineStr">
        <is>
          <t>ref</t>
        </is>
      </c>
      <c r="O806" t="n">
        <v>100</v>
      </c>
      <c r="P806" t="n">
        <v>0.0133</v>
      </c>
      <c r="Q806" t="n">
        <v>-100</v>
      </c>
      <c r="R806" t="n">
        <v>0.06213</v>
      </c>
      <c r="S806">
        <f>IMAGE("https://mitra.stanford.edu/kundaje/oak/projects/neuro-variants/variant_position/credible/roussos_2024/variant_figures/roussos_2024.infant.GLU/rs7955462_count_position.png",4,220,900)</f>
        <v/>
      </c>
      <c r="T806">
        <f>IMAGE("https://mitra.stanford.edu/kundaje/oak/projects/neuro-variants/variant_position/credible/roussos_2024/variant_figures/roussos_2024.infant.GLU/rs7955462_profile_position.png",4,220,900)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0.003550016564</v>
      </c>
      <c r="G807" t="n">
        <v>0.6698900604277097</v>
      </c>
      <c r="H807" t="n">
        <v>0.064289170571262</v>
      </c>
      <c r="I807" t="n">
        <v>0.002147943859179</v>
      </c>
      <c r="J807" t="n">
        <v>0.0022123503604576</v>
      </c>
      <c r="K807" t="n">
        <v>0.8437429163944422</v>
      </c>
      <c r="L807" t="b">
        <v>0</v>
      </c>
      <c r="M807" t="b">
        <v>0</v>
      </c>
      <c r="N807" t="inlineStr">
        <is>
          <t>alt</t>
        </is>
      </c>
      <c r="O807" t="n">
        <v>-15</v>
      </c>
      <c r="P807" t="n">
        <v>0.001465</v>
      </c>
      <c r="Q807" t="n">
        <v>30</v>
      </c>
      <c r="R807" t="n">
        <v>0.0513</v>
      </c>
      <c r="S807">
        <f>IMAGE("https://mitra.stanford.edu/kundaje/oak/projects/neuro-variants/variant_position/credible/roussos_2024/variant_figures/roussos_2024.infant.GLU/rs6582256_count_position.png",4,220,900)</f>
        <v/>
      </c>
      <c r="T807">
        <f>IMAGE("https://mitra.stanford.edu/kundaje/oak/projects/neuro-variants/variant_position/credible/roussos_2024/variant_figures/roussos_2024.infant.GLU/rs6582256_profile_position.png",4,220,900)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-0.01957145966</v>
      </c>
      <c r="G808" t="n">
        <v>0.4550371146302612</v>
      </c>
      <c r="H808" t="n">
        <v>0.0356725668029236</v>
      </c>
      <c r="I808" t="n">
        <v>0.0314241752959814</v>
      </c>
      <c r="J808" t="n">
        <v>0.0990707467095835</v>
      </c>
      <c r="K808" t="n">
        <v>0.2069046419204845</v>
      </c>
      <c r="L808" t="b">
        <v>0</v>
      </c>
      <c r="M808" t="b">
        <v>0</v>
      </c>
      <c r="N808" t="inlineStr">
        <is>
          <t>ref</t>
        </is>
      </c>
      <c r="O808" t="n">
        <v>30</v>
      </c>
      <c r="P808" t="n">
        <v>0.006958</v>
      </c>
      <c r="Q808" t="n">
        <v>100</v>
      </c>
      <c r="R808" t="n">
        <v>0.3013</v>
      </c>
      <c r="S808">
        <f>IMAGE("https://mitra.stanford.edu/kundaje/oak/projects/neuro-variants/variant_position/credible/roussos_2024/variant_figures/roussos_2024.infant.GLU/rs6582260_count_position.png",4,220,900)</f>
        <v/>
      </c>
      <c r="T808">
        <f>IMAGE("https://mitra.stanford.edu/kundaje/oak/projects/neuro-variants/variant_position/credible/roussos_2024/variant_figures/roussos_2024.infant.GLU/rs6582260_profile_position.png",4,220,900)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-0.1678952159999999</v>
      </c>
      <c r="G809" t="n">
        <v>0.0164114973218192</v>
      </c>
      <c r="H809" t="n">
        <v>0.0364708034919109</v>
      </c>
      <c r="I809" t="n">
        <v>0.0295872880218298</v>
      </c>
      <c r="J809" t="n">
        <v>0.1032386075530765</v>
      </c>
      <c r="K809" t="n">
        <v>0.2025183939772413</v>
      </c>
      <c r="L809" t="b">
        <v>1</v>
      </c>
      <c r="M809" t="b">
        <v>0</v>
      </c>
      <c r="N809" t="inlineStr">
        <is>
          <t>ref</t>
        </is>
      </c>
      <c r="O809" t="n">
        <v>-100</v>
      </c>
      <c r="P809" t="n">
        <v>0.187</v>
      </c>
      <c r="Q809" t="n">
        <v>-10</v>
      </c>
      <c r="R809" t="n">
        <v>0.01733</v>
      </c>
      <c r="S809">
        <f>IMAGE("https://mitra.stanford.edu/kundaje/oak/projects/neuro-variants/variant_position/credible/roussos_2024/variant_figures/roussos_2024.infant.GLU/rs12316904_count_position.png",4,220,900)</f>
        <v/>
      </c>
      <c r="T809">
        <f>IMAGE("https://mitra.stanford.edu/kundaje/oak/projects/neuro-variants/variant_position/credible/roussos_2024/variant_figures/roussos_2024.infant.GLU/rs12316904_profile_position.png",4,220,900)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-0.0185880136</v>
      </c>
      <c r="G810" t="n">
        <v>0.4696557880924679</v>
      </c>
      <c r="H810" t="n">
        <v>0.0431539239828839</v>
      </c>
      <c r="I810" t="n">
        <v>0.0149224984905688</v>
      </c>
      <c r="J810" t="n">
        <v>0.0577074009568111</v>
      </c>
      <c r="K810" t="n">
        <v>0.3147508527394619</v>
      </c>
      <c r="L810" t="b">
        <v>1</v>
      </c>
      <c r="M810" t="b">
        <v>0</v>
      </c>
      <c r="N810" t="inlineStr">
        <is>
          <t>ref</t>
        </is>
      </c>
      <c r="O810" t="n">
        <v>-100</v>
      </c>
      <c r="P810" t="n">
        <v>0.007324</v>
      </c>
      <c r="Q810" t="n">
        <v>-60</v>
      </c>
      <c r="R810" t="n">
        <v>0.014465</v>
      </c>
      <c r="S810">
        <f>IMAGE("https://mitra.stanford.edu/kundaje/oak/projects/neuro-variants/variant_position/credible/roussos_2024/variant_figures/roussos_2024.infant.GLU/rs1526821_count_position.png",4,220,900)</f>
        <v/>
      </c>
      <c r="T810">
        <f>IMAGE("https://mitra.stanford.edu/kundaje/oak/projects/neuro-variants/variant_position/credible/roussos_2024/variant_figures/roussos_2024.infant.GLU/rs1526821_profile_position.png",4,220,900)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-0.057171426</v>
      </c>
      <c r="G811" t="n">
        <v>0.1437376576750671</v>
      </c>
      <c r="H811" t="n">
        <v>0.0216667329002122</v>
      </c>
      <c r="I811" t="n">
        <v>0.1486059639344963</v>
      </c>
      <c r="J811" t="n">
        <v>0.4615070878987632</v>
      </c>
      <c r="K811" t="n">
        <v>0.0360968415961774</v>
      </c>
      <c r="L811" t="b">
        <v>0</v>
      </c>
      <c r="M811" t="b">
        <v>0</v>
      </c>
      <c r="N811" t="inlineStr">
        <is>
          <t>ref</t>
        </is>
      </c>
      <c r="O811" t="n">
        <v>85</v>
      </c>
      <c r="P811" t="n">
        <v>0.00322</v>
      </c>
      <c r="Q811" t="n">
        <v>-70</v>
      </c>
      <c r="R811" t="n">
        <v>0.05957</v>
      </c>
      <c r="S811">
        <f>IMAGE("https://mitra.stanford.edu/kundaje/oak/projects/neuro-variants/variant_position/credible/roussos_2024/variant_figures/roussos_2024.infant.GLU/rs12315638_count_position.png",4,220,900)</f>
        <v/>
      </c>
      <c r="T811">
        <f>IMAGE("https://mitra.stanford.edu/kundaje/oak/projects/neuro-variants/variant_position/credible/roussos_2024/variant_figures/roussos_2024.infant.GLU/rs12315638_profile_position.png",4,220,900)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-0.232552812</v>
      </c>
      <c r="G812" t="n">
        <v>0.0068513548593188</v>
      </c>
      <c r="H812" t="n">
        <v>0.0320358637056457</v>
      </c>
      <c r="I812" t="n">
        <v>0.0464726218287382</v>
      </c>
      <c r="J812" t="n">
        <v>0.0107784563151744</v>
      </c>
      <c r="K812" t="n">
        <v>0.676568691005234</v>
      </c>
      <c r="L812" t="b">
        <v>1</v>
      </c>
      <c r="M812" t="b">
        <v>1</v>
      </c>
      <c r="N812" t="inlineStr">
        <is>
          <t>ref</t>
        </is>
      </c>
      <c r="O812" t="n">
        <v>100</v>
      </c>
      <c r="P812" t="n">
        <v>0.01888</v>
      </c>
      <c r="Q812" t="n">
        <v>-50</v>
      </c>
      <c r="R812" t="n">
        <v>0.06859999999999999</v>
      </c>
      <c r="S812">
        <f>IMAGE("https://mitra.stanford.edu/kundaje/oak/projects/neuro-variants/variant_position/credible/roussos_2024/variant_figures/roussos_2024.infant.GLU/rs11180302_count_position.png",4,220,900)</f>
        <v/>
      </c>
      <c r="T812">
        <f>IMAGE("https://mitra.stanford.edu/kundaje/oak/projects/neuro-variants/variant_position/credible/roussos_2024/variant_figures/roussos_2024.infant.GLU/rs11180302_profile_position.png",4,220,900)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-0.0357091983999999</v>
      </c>
      <c r="G813" t="n">
        <v>0.2703245530295953</v>
      </c>
      <c r="H813" t="n">
        <v>0.0072959818123994</v>
      </c>
      <c r="I813" t="n">
        <v>0.9287156554071152</v>
      </c>
      <c r="J813" t="n">
        <v>0.0150697766705614</v>
      </c>
      <c r="K813" t="n">
        <v>0.5901146659401677</v>
      </c>
      <c r="L813" t="b">
        <v>0</v>
      </c>
      <c r="M813" t="b">
        <v>0</v>
      </c>
      <c r="N813" t="inlineStr">
        <is>
          <t>ref</t>
        </is>
      </c>
      <c r="O813" t="n">
        <v>95</v>
      </c>
      <c r="P813" t="n">
        <v>0.1375</v>
      </c>
      <c r="Q813" t="n">
        <v>90</v>
      </c>
      <c r="R813" t="n">
        <v>0.04114</v>
      </c>
      <c r="S813">
        <f>IMAGE("https://mitra.stanford.edu/kundaje/oak/projects/neuro-variants/variant_position/credible/roussos_2024/variant_figures/roussos_2024.infant.GLU/rs1526803_count_position.png",4,220,900)</f>
        <v/>
      </c>
      <c r="T813">
        <f>IMAGE("https://mitra.stanford.edu/kundaje/oak/projects/neuro-variants/variant_position/credible/roussos_2024/variant_figures/roussos_2024.infant.GLU/rs1526803_profile_position.png",4,220,900)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-0.0219414519</v>
      </c>
      <c r="G814" t="n">
        <v>0.422393014485874</v>
      </c>
      <c r="H814" t="n">
        <v>0.0454369530523244</v>
      </c>
      <c r="I814" t="n">
        <v>0.0117665311900539</v>
      </c>
      <c r="J814" t="n">
        <v>0.0257699684737317</v>
      </c>
      <c r="K814" t="n">
        <v>0.4818169888643079</v>
      </c>
      <c r="L814" t="b">
        <v>1</v>
      </c>
      <c r="M814" t="b">
        <v>0</v>
      </c>
      <c r="N814" t="inlineStr">
        <is>
          <t>ref</t>
        </is>
      </c>
      <c r="O814" t="n">
        <v>30</v>
      </c>
      <c r="P814" t="n">
        <v>0.0166</v>
      </c>
      <c r="Q814" t="n">
        <v>-45</v>
      </c>
      <c r="R814" t="n">
        <v>0.07135</v>
      </c>
      <c r="S814">
        <f>IMAGE("https://mitra.stanford.edu/kundaje/oak/projects/neuro-variants/variant_position/credible/roussos_2024/variant_figures/roussos_2024.infant.GLU/rs952408_count_position.png",4,220,900)</f>
        <v/>
      </c>
      <c r="T814">
        <f>IMAGE("https://mitra.stanford.edu/kundaje/oak/projects/neuro-variants/variant_position/credible/roussos_2024/variant_figures/roussos_2024.infant.GLU/rs952408_profile_position.png",4,220,900)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-0.279933812</v>
      </c>
      <c r="G815" t="n">
        <v>0.0037863454434318</v>
      </c>
      <c r="H815" t="n">
        <v>0.06756591636131409</v>
      </c>
      <c r="I815" t="n">
        <v>0.001776251223228</v>
      </c>
      <c r="J815" t="n">
        <v>0.2052999404748781</v>
      </c>
      <c r="K815" t="n">
        <v>0.1062412122509015</v>
      </c>
      <c r="L815" t="b">
        <v>1</v>
      </c>
      <c r="M815" t="b">
        <v>1</v>
      </c>
      <c r="N815" t="inlineStr">
        <is>
          <t>ref</t>
        </is>
      </c>
      <c r="O815" t="n">
        <v>25</v>
      </c>
      <c r="P815" t="n">
        <v>0.01239</v>
      </c>
      <c r="Q815" t="n">
        <v>75</v>
      </c>
      <c r="R815" t="n">
        <v>0.05518</v>
      </c>
      <c r="S815">
        <f>IMAGE("https://mitra.stanford.edu/kundaje/oak/projects/neuro-variants/variant_position/credible/roussos_2024/variant_figures/roussos_2024.infant.GLU/rs12300503_count_position.png",4,220,900)</f>
        <v/>
      </c>
      <c r="T815">
        <f>IMAGE("https://mitra.stanford.edu/kundaje/oak/projects/neuro-variants/variant_position/credible/roussos_2024/variant_figures/roussos_2024.infant.GLU/rs12300503_profile_position.png",4,220,900)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-0.0400719284</v>
      </c>
      <c r="G816" t="n">
        <v>0.2289075330556415</v>
      </c>
      <c r="H816" t="n">
        <v>0.012517894139581</v>
      </c>
      <c r="I816" t="n">
        <v>0.5112921798065916</v>
      </c>
      <c r="J816" t="n">
        <v>0.0057055931568155</v>
      </c>
      <c r="K816" t="n">
        <v>0.7732477698507668</v>
      </c>
      <c r="L816" t="b">
        <v>0</v>
      </c>
      <c r="M816" t="b">
        <v>0</v>
      </c>
      <c r="N816" t="inlineStr">
        <is>
          <t>ref</t>
        </is>
      </c>
      <c r="O816" t="n">
        <v>10</v>
      </c>
      <c r="P816" t="n">
        <v>0.00589</v>
      </c>
      <c r="Q816" t="n">
        <v>5</v>
      </c>
      <c r="R816" t="n">
        <v>0.004883</v>
      </c>
      <c r="S816">
        <f>IMAGE("https://mitra.stanford.edu/kundaje/oak/projects/neuro-variants/variant_position/credible/roussos_2024/variant_figures/roussos_2024.infant.GLU/rs17014518_count_position.png",4,220,900)</f>
        <v/>
      </c>
      <c r="T816">
        <f>IMAGE("https://mitra.stanford.edu/kundaje/oak/projects/neuro-variants/variant_position/credible/roussos_2024/variant_figures/roussos_2024.infant.GLU/rs17014518_profile_position.png",4,220,900)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0.03221680624</v>
      </c>
      <c r="G817" t="n">
        <v>0.2857228323277976</v>
      </c>
      <c r="H817" t="n">
        <v>0.014465577159953</v>
      </c>
      <c r="I817" t="n">
        <v>0.3898355059789377</v>
      </c>
      <c r="J817" t="n">
        <v>0.0063912343746554</v>
      </c>
      <c r="K817" t="n">
        <v>0.7238846951665177</v>
      </c>
      <c r="L817" t="b">
        <v>0</v>
      </c>
      <c r="M817" t="b">
        <v>0</v>
      </c>
      <c r="N817" t="inlineStr">
        <is>
          <t>alt</t>
        </is>
      </c>
      <c r="O817" t="n">
        <v>-100</v>
      </c>
      <c r="P817" t="n">
        <v>0.003647</v>
      </c>
      <c r="Q817" t="n">
        <v>-100</v>
      </c>
      <c r="R817" t="n">
        <v>0.05396</v>
      </c>
      <c r="S817">
        <f>IMAGE("https://mitra.stanford.edu/kundaje/oak/projects/neuro-variants/variant_position/credible/roussos_2024/variant_figures/roussos_2024.infant.GLU/rs66619626_count_position.png",4,220,900)</f>
        <v/>
      </c>
      <c r="T817">
        <f>IMAGE("https://mitra.stanford.edu/kundaje/oak/projects/neuro-variants/variant_position/credible/roussos_2024/variant_figures/roussos_2024.infant.GLU/rs66619626_profile_position.png",4,220,900)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-0.048120782</v>
      </c>
      <c r="G818" t="n">
        <v>0.1798900161696942</v>
      </c>
      <c r="H818" t="n">
        <v>0.0464440173517712</v>
      </c>
      <c r="I818" t="n">
        <v>0.0106618666856896</v>
      </c>
      <c r="J818" t="n">
        <v>0.0420214290438501</v>
      </c>
      <c r="K818" t="n">
        <v>0.3786531073203673</v>
      </c>
      <c r="L818" t="b">
        <v>1</v>
      </c>
      <c r="M818" t="b">
        <v>0</v>
      </c>
      <c r="N818" t="inlineStr">
        <is>
          <t>ref</t>
        </is>
      </c>
      <c r="O818" t="n">
        <v>-90</v>
      </c>
      <c r="P818" t="n">
        <v>0.01381</v>
      </c>
      <c r="Q818" t="n">
        <v>10</v>
      </c>
      <c r="R818" t="n">
        <v>0.00415</v>
      </c>
      <c r="S818">
        <f>IMAGE("https://mitra.stanford.edu/kundaje/oak/projects/neuro-variants/variant_position/credible/roussos_2024/variant_figures/roussos_2024.infant.GLU/rs11104403_count_position.png",4,220,900)</f>
        <v/>
      </c>
      <c r="T818">
        <f>IMAGE("https://mitra.stanford.edu/kundaje/oak/projects/neuro-variants/variant_position/credible/roussos_2024/variant_figures/roussos_2024.infant.GLU/rs11104403_profile_position.png",4,220,900)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-0.0555577564</v>
      </c>
      <c r="G819" t="n">
        <v>0.1452261109386354</v>
      </c>
      <c r="H819" t="n">
        <v>0.0151270267329305</v>
      </c>
      <c r="I819" t="n">
        <v>0.3545574424881292</v>
      </c>
      <c r="J819" t="n">
        <v>0.0269141735928922</v>
      </c>
      <c r="K819" t="n">
        <v>0.4711574652099213</v>
      </c>
      <c r="L819" t="b">
        <v>0</v>
      </c>
      <c r="M819" t="b">
        <v>0</v>
      </c>
      <c r="N819" t="inlineStr">
        <is>
          <t>ref</t>
        </is>
      </c>
      <c r="O819" t="n">
        <v>-100</v>
      </c>
      <c r="P819" t="n">
        <v>0.01892</v>
      </c>
      <c r="Q819" t="n">
        <v>-80</v>
      </c>
      <c r="R819" t="n">
        <v>0.06419999999999999</v>
      </c>
      <c r="S819">
        <f>IMAGE("https://mitra.stanford.edu/kundaje/oak/projects/neuro-variants/variant_position/credible/roussos_2024/variant_figures/roussos_2024.infant.GLU/rs12815820_count_position.png",4,220,900)</f>
        <v/>
      </c>
      <c r="T819">
        <f>IMAGE("https://mitra.stanford.edu/kundaje/oak/projects/neuro-variants/variant_position/credible/roussos_2024/variant_figures/roussos_2024.infant.GLU/rs12815820_profile_position.png",4,220,900)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0.07221247679999999</v>
      </c>
      <c r="G820" t="n">
        <v>0.09710233024923901</v>
      </c>
      <c r="H820" t="n">
        <v>0.0393875718436787</v>
      </c>
      <c r="I820" t="n">
        <v>0.0214330429685326</v>
      </c>
      <c r="J820" t="n">
        <v>0.0491093278070503</v>
      </c>
      <c r="K820" t="n">
        <v>0.3429601536554021</v>
      </c>
      <c r="L820" t="b">
        <v>0</v>
      </c>
      <c r="M820" t="b">
        <v>0</v>
      </c>
      <c r="N820" t="inlineStr">
        <is>
          <t>alt</t>
        </is>
      </c>
      <c r="O820" t="n">
        <v>-60</v>
      </c>
      <c r="P820" t="n">
        <v>0.01278</v>
      </c>
      <c r="Q820" t="n">
        <v>-60</v>
      </c>
      <c r="R820" t="n">
        <v>0.05743</v>
      </c>
      <c r="S820">
        <f>IMAGE("https://mitra.stanford.edu/kundaje/oak/projects/neuro-variants/variant_position/credible/roussos_2024/variant_figures/roussos_2024.infant.GLU/rs725421_count_position.png",4,220,900)</f>
        <v/>
      </c>
      <c r="T820">
        <f>IMAGE("https://mitra.stanford.edu/kundaje/oak/projects/neuro-variants/variant_position/credible/roussos_2024/variant_figures/roussos_2024.infant.GLU/rs725421_profile_position.png",4,220,900)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0.02290421874</v>
      </c>
      <c r="G821" t="n">
        <v>0.3898996543208731</v>
      </c>
      <c r="H821" t="n">
        <v>0.0169292038340083</v>
      </c>
      <c r="I821" t="n">
        <v>0.2768754247380171</v>
      </c>
      <c r="J821" t="n">
        <v>0.0450561079388875</v>
      </c>
      <c r="K821" t="n">
        <v>0.3693233421289029</v>
      </c>
      <c r="L821" t="b">
        <v>0</v>
      </c>
      <c r="M821" t="b">
        <v>0</v>
      </c>
      <c r="N821" t="inlineStr">
        <is>
          <t>alt</t>
        </is>
      </c>
      <c r="O821" t="n">
        <v>-10</v>
      </c>
      <c r="P821" t="n">
        <v>0.002281</v>
      </c>
      <c r="Q821" t="n">
        <v>10</v>
      </c>
      <c r="R821" t="n">
        <v>0.02594</v>
      </c>
      <c r="S821">
        <f>IMAGE("https://mitra.stanford.edu/kundaje/oak/projects/neuro-variants/variant_position/credible/roussos_2024/variant_figures/roussos_2024.infant.GLU/rs7972062_count_position.png",4,220,900)</f>
        <v/>
      </c>
      <c r="T821">
        <f>IMAGE("https://mitra.stanford.edu/kundaje/oak/projects/neuro-variants/variant_position/credible/roussos_2024/variant_figures/roussos_2024.infant.GLU/rs7972062_profile_position.png",4,220,900)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0.0136511818</v>
      </c>
      <c r="G822" t="n">
        <v>0.3443209928491476</v>
      </c>
      <c r="H822" t="n">
        <v>0.0091569239578676</v>
      </c>
      <c r="I822" t="n">
        <v>0.8129900203198425</v>
      </c>
      <c r="J822" t="n">
        <v>0.09119248660684751</v>
      </c>
      <c r="K822" t="n">
        <v>0.2324952750196257</v>
      </c>
      <c r="L822" t="b">
        <v>0</v>
      </c>
      <c r="M822" t="b">
        <v>0</v>
      </c>
      <c r="N822" t="inlineStr">
        <is>
          <t>alt</t>
        </is>
      </c>
      <c r="O822" t="n">
        <v>100</v>
      </c>
      <c r="P822" t="n">
        <v>0.02524</v>
      </c>
      <c r="Q822" t="n">
        <v>90</v>
      </c>
      <c r="R822" t="n">
        <v>0.2625</v>
      </c>
      <c r="S822">
        <f>IMAGE("https://mitra.stanford.edu/kundaje/oak/projects/neuro-variants/variant_position/credible/roussos_2024/variant_figures/roussos_2024.infant.GLU/rs10858579_count_position.png",4,220,900)</f>
        <v/>
      </c>
      <c r="T822">
        <f>IMAGE("https://mitra.stanford.edu/kundaje/oak/projects/neuro-variants/variant_position/credible/roussos_2024/variant_figures/roussos_2024.infant.GLU/rs10858579_profile_position.png",4,220,900)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-0.02002556574</v>
      </c>
      <c r="G823" t="n">
        <v>0.4613568863909197</v>
      </c>
      <c r="H823" t="n">
        <v>0.0549431851733537</v>
      </c>
      <c r="I823" t="n">
        <v>0.0048602457383851</v>
      </c>
      <c r="J823" t="n">
        <v>0.08069953041292791</v>
      </c>
      <c r="K823" t="n">
        <v>0.248619911248147</v>
      </c>
      <c r="L823" t="b">
        <v>1</v>
      </c>
      <c r="M823" t="b">
        <v>1</v>
      </c>
      <c r="N823" t="inlineStr">
        <is>
          <t>ref</t>
        </is>
      </c>
      <c r="O823" t="n">
        <v>40</v>
      </c>
      <c r="P823" t="n">
        <v>0.03845</v>
      </c>
      <c r="Q823" t="n">
        <v>-55</v>
      </c>
      <c r="R823" t="n">
        <v>0.074</v>
      </c>
      <c r="S823">
        <f>IMAGE("https://mitra.stanford.edu/kundaje/oak/projects/neuro-variants/variant_position/credible/roussos_2024/variant_figures/roussos_2024.infant.GLU/rs1845141_count_position.png",4,220,900)</f>
        <v/>
      </c>
      <c r="T823">
        <f>IMAGE("https://mitra.stanford.edu/kundaje/oak/projects/neuro-variants/variant_position/credible/roussos_2024/variant_figures/roussos_2024.infant.GLU/rs1845141_profile_position.png",4,220,900)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0.0676347516</v>
      </c>
      <c r="G824" t="n">
        <v>0.1062528519336867</v>
      </c>
      <c r="H824" t="n">
        <v>0.0121202355210431</v>
      </c>
      <c r="I824" t="n">
        <v>0.5418586189166802</v>
      </c>
      <c r="J824" t="n">
        <v>0.0155790471571242</v>
      </c>
      <c r="K824" t="n">
        <v>0.5798922249670772</v>
      </c>
      <c r="L824" t="b">
        <v>0</v>
      </c>
      <c r="M824" t="b">
        <v>0</v>
      </c>
      <c r="N824" t="inlineStr">
        <is>
          <t>alt</t>
        </is>
      </c>
      <c r="O824" t="n">
        <v>-80</v>
      </c>
      <c r="P824" t="n">
        <v>0.05316</v>
      </c>
      <c r="Q824" t="n">
        <v>25</v>
      </c>
      <c r="R824" t="n">
        <v>0.05115</v>
      </c>
      <c r="S824">
        <f>IMAGE("https://mitra.stanford.edu/kundaje/oak/projects/neuro-variants/variant_position/credible/roussos_2024/variant_figures/roussos_2024.infant.GLU/rs7308051_count_position.png",4,220,900)</f>
        <v/>
      </c>
      <c r="T824">
        <f>IMAGE("https://mitra.stanford.edu/kundaje/oak/projects/neuro-variants/variant_position/credible/roussos_2024/variant_figures/roussos_2024.infant.GLU/rs7308051_profile_position.png",4,220,900)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0.1104555344</v>
      </c>
      <c r="G825" t="n">
        <v>0.0413267296270842</v>
      </c>
      <c r="H825" t="n">
        <v>0.0189872279532716</v>
      </c>
      <c r="I825" t="n">
        <v>0.2110507784479275</v>
      </c>
      <c r="J825" t="n">
        <v>0.0752210145726316</v>
      </c>
      <c r="K825" t="n">
        <v>0.2632314940712729</v>
      </c>
      <c r="L825" t="b">
        <v>0</v>
      </c>
      <c r="M825" t="b">
        <v>0</v>
      </c>
      <c r="N825" t="inlineStr">
        <is>
          <t>alt</t>
        </is>
      </c>
      <c r="O825" t="n">
        <v>-80</v>
      </c>
      <c r="P825" t="n">
        <v>0.02386</v>
      </c>
      <c r="Q825" t="n">
        <v>-25</v>
      </c>
      <c r="R825" t="n">
        <v>0.02832</v>
      </c>
      <c r="S825">
        <f>IMAGE("https://mitra.stanford.edu/kundaje/oak/projects/neuro-variants/variant_position/credible/roussos_2024/variant_figures/roussos_2024.infant.GLU/rs6538188_count_position.png",4,220,900)</f>
        <v/>
      </c>
      <c r="T825">
        <f>IMAGE("https://mitra.stanford.edu/kundaje/oak/projects/neuro-variants/variant_position/credible/roussos_2024/variant_figures/roussos_2024.infant.GLU/rs6538188_profile_position.png",4,220,900)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-0.01181577734</v>
      </c>
      <c r="G826" t="n">
        <v>0.4243813961331883</v>
      </c>
      <c r="H826" t="n">
        <v>0.0143265811892131</v>
      </c>
      <c r="I826" t="n">
        <v>0.404067669932326</v>
      </c>
      <c r="J826" t="n">
        <v>0.0032738816993319</v>
      </c>
      <c r="K826" t="n">
        <v>0.7961628889166813</v>
      </c>
      <c r="L826" t="b">
        <v>0</v>
      </c>
      <c r="M826" t="b">
        <v>0</v>
      </c>
      <c r="N826" t="inlineStr">
        <is>
          <t>ref</t>
        </is>
      </c>
      <c r="O826" t="n">
        <v>5</v>
      </c>
      <c r="P826" t="n">
        <v>0.0005035</v>
      </c>
      <c r="Q826" t="n">
        <v>100</v>
      </c>
      <c r="R826" t="n">
        <v>0.07477</v>
      </c>
      <c r="S826">
        <f>IMAGE("https://mitra.stanford.edu/kundaje/oak/projects/neuro-variants/variant_position/credible/roussos_2024/variant_figures/roussos_2024.infant.GLU/rs9634199_count_position.png",4,220,900)</f>
        <v/>
      </c>
      <c r="T826">
        <f>IMAGE("https://mitra.stanford.edu/kundaje/oak/projects/neuro-variants/variant_position/credible/roussos_2024/variant_figures/roussos_2024.infant.GLU/rs9634199_profile_position.png",4,220,900)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0.1381000902</v>
      </c>
      <c r="G827" t="n">
        <v>0.0258279222827534</v>
      </c>
      <c r="H827" t="n">
        <v>0.0195862995058796</v>
      </c>
      <c r="I827" t="n">
        <v>0.2002146729761854</v>
      </c>
      <c r="J827" t="n">
        <v>0.6530655437730108</v>
      </c>
      <c r="K827" t="n">
        <v>0.0173506434565582</v>
      </c>
      <c r="L827" t="b">
        <v>0</v>
      </c>
      <c r="M827" t="b">
        <v>0</v>
      </c>
      <c r="N827" t="inlineStr">
        <is>
          <t>alt</t>
        </is>
      </c>
      <c r="O827" t="n">
        <v>35</v>
      </c>
      <c r="P827" t="n">
        <v>0.003876</v>
      </c>
      <c r="Q827" t="n">
        <v>95</v>
      </c>
      <c r="R827" t="n">
        <v>0.1924</v>
      </c>
      <c r="S827">
        <f>IMAGE("https://mitra.stanford.edu/kundaje/oak/projects/neuro-variants/variant_position/credible/roussos_2024/variant_figures/roussos_2024.infant.GLU/rs10858884_count_position.png",4,220,900)</f>
        <v/>
      </c>
      <c r="T827">
        <f>IMAGE("https://mitra.stanford.edu/kundaje/oak/projects/neuro-variants/variant_position/credible/roussos_2024/variant_figures/roussos_2024.infant.GLU/rs10858884_profile_position.png",4,220,900)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0.08867291200000001</v>
      </c>
      <c r="G828" t="n">
        <v>0.0607809267423825</v>
      </c>
      <c r="H828" t="n">
        <v>0.015469809709063</v>
      </c>
      <c r="I828" t="n">
        <v>0.3387496981221561</v>
      </c>
      <c r="J828" t="n">
        <v>0.1555909521814854</v>
      </c>
      <c r="K828" t="n">
        <v>0.1440270918895766</v>
      </c>
      <c r="L828" t="b">
        <v>0</v>
      </c>
      <c r="M828" t="b">
        <v>0</v>
      </c>
      <c r="N828" t="inlineStr">
        <is>
          <t>alt</t>
        </is>
      </c>
      <c r="O828" t="n">
        <v>-100</v>
      </c>
      <c r="P828" t="n">
        <v>0.1704</v>
      </c>
      <c r="Q828" t="n">
        <v>5</v>
      </c>
      <c r="R828" t="n">
        <v>0.00232</v>
      </c>
      <c r="S828">
        <f>IMAGE("https://mitra.stanford.edu/kundaje/oak/projects/neuro-variants/variant_position/credible/roussos_2024/variant_figures/roussos_2024.infant.GLU/rs10777173_count_position.png",4,220,900)</f>
        <v/>
      </c>
      <c r="T828">
        <f>IMAGE("https://mitra.stanford.edu/kundaje/oak/projects/neuro-variants/variant_position/credible/roussos_2024/variant_figures/roussos_2024.infant.GLU/rs10777173_profile_position.png",4,220,900)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-0.255175592</v>
      </c>
      <c r="G829" t="n">
        <v>0.0051435750465654</v>
      </c>
      <c r="H829" t="n">
        <v>0.0364818392877748</v>
      </c>
      <c r="I829" t="n">
        <v>0.0292255849573681</v>
      </c>
      <c r="J829" t="n">
        <v>0.0161963447165942</v>
      </c>
      <c r="K829" t="n">
        <v>0.576716286736089</v>
      </c>
      <c r="L829" t="b">
        <v>1</v>
      </c>
      <c r="M829" t="b">
        <v>1</v>
      </c>
      <c r="N829" t="inlineStr">
        <is>
          <t>ref</t>
        </is>
      </c>
      <c r="O829" t="n">
        <v>-25</v>
      </c>
      <c r="P829" t="n">
        <v>0.002739</v>
      </c>
      <c r="Q829" t="n">
        <v>85</v>
      </c>
      <c r="R829" t="n">
        <v>0.03333</v>
      </c>
      <c r="S829">
        <f>IMAGE("https://mitra.stanford.edu/kundaje/oak/projects/neuro-variants/variant_position/credible/roussos_2024/variant_figures/roussos_2024.infant.GLU/rs11105326_count_position.png",4,220,900)</f>
        <v/>
      </c>
      <c r="T829">
        <f>IMAGE("https://mitra.stanford.edu/kundaje/oak/projects/neuro-variants/variant_position/credible/roussos_2024/variant_figures/roussos_2024.infant.GLU/rs11105326_profile_position.png",4,220,900)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0.0708235002</v>
      </c>
      <c r="G830" t="n">
        <v>0.0988504168754772</v>
      </c>
      <c r="H830" t="n">
        <v>0.0132091805684187</v>
      </c>
      <c r="I830" t="n">
        <v>0.4718362544562163</v>
      </c>
      <c r="J830" t="n">
        <v>0.0155966842302519</v>
      </c>
      <c r="K830" t="n">
        <v>0.6060190660362064</v>
      </c>
      <c r="L830" t="b">
        <v>0</v>
      </c>
      <c r="M830" t="b">
        <v>0</v>
      </c>
      <c r="N830" t="inlineStr">
        <is>
          <t>alt</t>
        </is>
      </c>
      <c r="O830" t="n">
        <v>20</v>
      </c>
      <c r="P830" t="n">
        <v>0.00232</v>
      </c>
      <c r="Q830" t="n">
        <v>100</v>
      </c>
      <c r="R830" t="n">
        <v>0.1509</v>
      </c>
      <c r="S830">
        <f>IMAGE("https://mitra.stanford.edu/kundaje/oak/projects/neuro-variants/variant_position/credible/roussos_2024/variant_figures/roussos_2024.infant.GLU/rs77966649_count_position.png",4,220,900)</f>
        <v/>
      </c>
      <c r="T830">
        <f>IMAGE("https://mitra.stanford.edu/kundaje/oak/projects/neuro-variants/variant_position/credible/roussos_2024/variant_figures/roussos_2024.infant.GLU/rs77966649_profile_position.png",4,220,900)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-0.072917656</v>
      </c>
      <c r="G831" t="n">
        <v>0.1052925532412759</v>
      </c>
      <c r="H831" t="n">
        <v>0.0286468020321183</v>
      </c>
      <c r="I831" t="n">
        <v>0.0722752279404702</v>
      </c>
      <c r="J831" t="n">
        <v>0.1737538305518199</v>
      </c>
      <c r="K831" t="n">
        <v>0.1244347422154174</v>
      </c>
      <c r="L831" t="b">
        <v>0</v>
      </c>
      <c r="M831" t="b">
        <v>0</v>
      </c>
      <c r="N831" t="inlineStr">
        <is>
          <t>ref</t>
        </is>
      </c>
      <c r="O831" t="n">
        <v>-75</v>
      </c>
      <c r="P831" t="n">
        <v>0.01001</v>
      </c>
      <c r="Q831" t="n">
        <v>-90</v>
      </c>
      <c r="R831" t="n">
        <v>0.153</v>
      </c>
      <c r="S831">
        <f>IMAGE("https://mitra.stanford.edu/kundaje/oak/projects/neuro-variants/variant_position/credible/roussos_2024/variant_figures/roussos_2024.infant.GLU/rs4240748_count_position.png",4,220,900)</f>
        <v/>
      </c>
      <c r="T831">
        <f>IMAGE("https://mitra.stanford.edu/kundaje/oak/projects/neuro-variants/variant_position/credible/roussos_2024/variant_figures/roussos_2024.infant.GLU/rs4240748_profile_position.png",4,220,900)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-0.0059776256</v>
      </c>
      <c r="G832" t="n">
        <v>0.772889621505646</v>
      </c>
      <c r="H832" t="n">
        <v>0.0375587474478671</v>
      </c>
      <c r="I832" t="n">
        <v>0.025857484562696</v>
      </c>
      <c r="J832" t="n">
        <v>0.0664035803258448</v>
      </c>
      <c r="K832" t="n">
        <v>0.2872307657248666</v>
      </c>
      <c r="L832" t="b">
        <v>0</v>
      </c>
      <c r="M832" t="b">
        <v>0</v>
      </c>
      <c r="N832" t="inlineStr">
        <is>
          <t>ref</t>
        </is>
      </c>
      <c r="O832" t="n">
        <v>-60</v>
      </c>
      <c r="P832" t="n">
        <v>0.01953</v>
      </c>
      <c r="Q832" t="n">
        <v>90</v>
      </c>
      <c r="R832" t="n">
        <v>0.2651</v>
      </c>
      <c r="S832">
        <f>IMAGE("https://mitra.stanford.edu/kundaje/oak/projects/neuro-variants/variant_position/credible/roussos_2024/variant_figures/roussos_2024.infant.GLU/rs63482062_count_position.png",4,220,900)</f>
        <v/>
      </c>
      <c r="T832">
        <f>IMAGE("https://mitra.stanford.edu/kundaje/oak/projects/neuro-variants/variant_position/credible/roussos_2024/variant_figures/roussos_2024.infant.GLU/rs63482062_profile_position.png",4,220,900)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-0.00607143164</v>
      </c>
      <c r="G833" t="n">
        <v>0.7189137679982543</v>
      </c>
      <c r="H833" t="n">
        <v>0.0135353840432703</v>
      </c>
      <c r="I833" t="n">
        <v>0.4491584708386461</v>
      </c>
      <c r="J833" t="n">
        <v>0.1091569479044951</v>
      </c>
      <c r="K833" t="n">
        <v>0.1942040787723854</v>
      </c>
      <c r="L833" t="b">
        <v>0</v>
      </c>
      <c r="M833" t="b">
        <v>0</v>
      </c>
      <c r="N833" t="inlineStr">
        <is>
          <t>ref</t>
        </is>
      </c>
      <c r="O833" t="n">
        <v>-90</v>
      </c>
      <c r="P833" t="n">
        <v>0.009415</v>
      </c>
      <c r="Q833" t="n">
        <v>90</v>
      </c>
      <c r="R833" t="n">
        <v>0.0861</v>
      </c>
      <c r="S833">
        <f>IMAGE("https://mitra.stanford.edu/kundaje/oak/projects/neuro-variants/variant_position/credible/roussos_2024/variant_figures/roussos_2024.infant.GLU/rs10777617_count_position.png",4,220,900)</f>
        <v/>
      </c>
      <c r="T833">
        <f>IMAGE("https://mitra.stanford.edu/kundaje/oak/projects/neuro-variants/variant_position/credible/roussos_2024/variant_figures/roussos_2024.infant.GLU/rs10777617_profile_position.png",4,220,900)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-0.0994080088</v>
      </c>
      <c r="G834" t="n">
        <v>0.0519792579535525</v>
      </c>
      <c r="H834" t="n">
        <v>0.0223853825321745</v>
      </c>
      <c r="I834" t="n">
        <v>0.1393081520668192</v>
      </c>
      <c r="J834" t="n">
        <v>0.1039892854780748</v>
      </c>
      <c r="K834" t="n">
        <v>0.1990351706176556</v>
      </c>
      <c r="L834" t="b">
        <v>0</v>
      </c>
      <c r="M834" t="b">
        <v>0</v>
      </c>
      <c r="N834" t="inlineStr">
        <is>
          <t>ref</t>
        </is>
      </c>
      <c r="O834" t="n">
        <v>-95</v>
      </c>
      <c r="P834" t="n">
        <v>0.002617</v>
      </c>
      <c r="Q834" t="n">
        <v>10</v>
      </c>
      <c r="R834" t="n">
        <v>0.001953</v>
      </c>
      <c r="S834">
        <f>IMAGE("https://mitra.stanford.edu/kundaje/oak/projects/neuro-variants/variant_position/credible/roussos_2024/variant_figures/roussos_2024.infant.GLU/rs7311279_count_position.png",4,220,900)</f>
        <v/>
      </c>
      <c r="T834">
        <f>IMAGE("https://mitra.stanford.edu/kundaje/oak/projects/neuro-variants/variant_position/credible/roussos_2024/variant_figures/roussos_2024.infant.GLU/rs7311279_profile_position.png",4,220,900)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0.231809388</v>
      </c>
      <c r="G835" t="n">
        <v>0.0066555243039603</v>
      </c>
      <c r="H835" t="n">
        <v>0.0252634624065015</v>
      </c>
      <c r="I835" t="n">
        <v>0.0978443648723388</v>
      </c>
      <c r="J835" t="n">
        <v>0.2088835732710156</v>
      </c>
      <c r="K835" t="n">
        <v>0.1035465650350867</v>
      </c>
      <c r="L835" t="b">
        <v>1</v>
      </c>
      <c r="M835" t="b">
        <v>1</v>
      </c>
      <c r="N835" t="inlineStr">
        <is>
          <t>alt</t>
        </is>
      </c>
      <c r="O835" t="n">
        <v>45</v>
      </c>
      <c r="P835" t="n">
        <v>0.007904</v>
      </c>
      <c r="Q835" t="n">
        <v>100</v>
      </c>
      <c r="R835" t="n">
        <v>0.1257</v>
      </c>
      <c r="S835">
        <f>IMAGE("https://mitra.stanford.edu/kundaje/oak/projects/neuro-variants/variant_position/credible/roussos_2024/variant_figures/roussos_2024.infant.GLU/rs7311211_count_position.png",4,220,900)</f>
        <v/>
      </c>
      <c r="T835">
        <f>IMAGE("https://mitra.stanford.edu/kundaje/oak/projects/neuro-variants/variant_position/credible/roussos_2024/variant_figures/roussos_2024.infant.GLU/rs7311211_profile_position.png",4,220,900)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0.150435248</v>
      </c>
      <c r="G836" t="n">
        <v>0.0217328705447302</v>
      </c>
      <c r="H836" t="n">
        <v>0.030220958711467</v>
      </c>
      <c r="I836" t="n">
        <v>0.0575666552110452</v>
      </c>
      <c r="J836" t="n">
        <v>0.0399193103904406</v>
      </c>
      <c r="K836" t="n">
        <v>0.3931102729947502</v>
      </c>
      <c r="L836" t="b">
        <v>0</v>
      </c>
      <c r="M836" t="b">
        <v>0</v>
      </c>
      <c r="N836" t="inlineStr">
        <is>
          <t>alt</t>
        </is>
      </c>
      <c r="O836" t="n">
        <v>100</v>
      </c>
      <c r="P836" t="n">
        <v>0.0911</v>
      </c>
      <c r="Q836" t="n">
        <v>0</v>
      </c>
      <c r="R836" t="n">
        <v>0</v>
      </c>
      <c r="S836">
        <f>IMAGE("https://mitra.stanford.edu/kundaje/oak/projects/neuro-variants/variant_position/credible/roussos_2024/variant_figures/roussos_2024.infant.GLU/rs11835590_count_position.png",4,220,900)</f>
        <v/>
      </c>
      <c r="T836">
        <f>IMAGE("https://mitra.stanford.edu/kundaje/oak/projects/neuro-variants/variant_position/credible/roussos_2024/variant_figures/roussos_2024.infant.GLU/rs11835590_profile_position.png",4,220,900)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-0.089198264</v>
      </c>
      <c r="G837" t="n">
        <v>0.0788806002503491</v>
      </c>
      <c r="H837" t="n">
        <v>0.0442193655898292</v>
      </c>
      <c r="I837" t="n">
        <v>0.0133387900808748</v>
      </c>
      <c r="J837" t="n">
        <v>0.0395037368548688</v>
      </c>
      <c r="K837" t="n">
        <v>0.39578196753255</v>
      </c>
      <c r="L837" t="b">
        <v>1</v>
      </c>
      <c r="M837" t="b">
        <v>0</v>
      </c>
      <c r="N837" t="inlineStr">
        <is>
          <t>ref</t>
        </is>
      </c>
      <c r="O837" t="n">
        <v>35</v>
      </c>
      <c r="P837" t="n">
        <v>0.004745</v>
      </c>
      <c r="Q837" t="n">
        <v>-15</v>
      </c>
      <c r="R837" t="n">
        <v>0.04327</v>
      </c>
      <c r="S837">
        <f>IMAGE("https://mitra.stanford.edu/kundaje/oak/projects/neuro-variants/variant_position/credible/roussos_2024/variant_figures/roussos_2024.infant.GLU/rs1319893_count_position.png",4,220,900)</f>
        <v/>
      </c>
      <c r="T837">
        <f>IMAGE("https://mitra.stanford.edu/kundaje/oak/projects/neuro-variants/variant_position/credible/roussos_2024/variant_figures/roussos_2024.infant.GLU/rs1319893_profile_position.png",4,220,900)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-0.0712020906</v>
      </c>
      <c r="G838" t="n">
        <v>0.1040409766765078</v>
      </c>
      <c r="H838" t="n">
        <v>0.0107109044841998</v>
      </c>
      <c r="I838" t="n">
        <v>0.6761551065736083</v>
      </c>
      <c r="J838" t="n">
        <v>0.4358275094248109</v>
      </c>
      <c r="K838" t="n">
        <v>0.0392351807599369</v>
      </c>
      <c r="L838" t="b">
        <v>0</v>
      </c>
      <c r="M838" t="b">
        <v>0</v>
      </c>
      <c r="N838" t="inlineStr">
        <is>
          <t>ref</t>
        </is>
      </c>
      <c r="O838" t="n">
        <v>-100</v>
      </c>
      <c r="P838" t="n">
        <v>0.01285</v>
      </c>
      <c r="Q838" t="n">
        <v>70</v>
      </c>
      <c r="R838" t="n">
        <v>0.10156</v>
      </c>
      <c r="S838">
        <f>IMAGE("https://mitra.stanford.edu/kundaje/oak/projects/neuro-variants/variant_position/credible/roussos_2024/variant_figures/roussos_2024.infant.GLU/rs7311721_count_position.png",4,220,900)</f>
        <v/>
      </c>
      <c r="T838">
        <f>IMAGE("https://mitra.stanford.edu/kundaje/oak/projects/neuro-variants/variant_position/credible/roussos_2024/variant_figures/roussos_2024.infant.GLU/rs7311721_profile_position.png",4,220,900)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-0.1412813791999999</v>
      </c>
      <c r="G839" t="n">
        <v>0.0269051700450422</v>
      </c>
      <c r="H839" t="n">
        <v>0.0178006586464766</v>
      </c>
      <c r="I839" t="n">
        <v>0.2536460202733668</v>
      </c>
      <c r="J839" t="n">
        <v>0.0420985912387838</v>
      </c>
      <c r="K839" t="n">
        <v>0.3791267912618337</v>
      </c>
      <c r="L839" t="b">
        <v>0</v>
      </c>
      <c r="M839" t="b">
        <v>0</v>
      </c>
      <c r="N839" t="inlineStr">
        <is>
          <t>ref</t>
        </is>
      </c>
      <c r="O839" t="n">
        <v>-100</v>
      </c>
      <c r="P839" t="n">
        <v>0.0711</v>
      </c>
      <c r="Q839" t="n">
        <v>-90</v>
      </c>
      <c r="R839" t="n">
        <v>0.1537</v>
      </c>
      <c r="S839">
        <f>IMAGE("https://mitra.stanford.edu/kundaje/oak/projects/neuro-variants/variant_position/credible/roussos_2024/variant_figures/roussos_2024.infant.GLU/rs7955942_count_position.png",4,220,900)</f>
        <v/>
      </c>
      <c r="T839">
        <f>IMAGE("https://mitra.stanford.edu/kundaje/oak/projects/neuro-variants/variant_position/credible/roussos_2024/variant_figures/roussos_2024.infant.GLU/rs7955942_profile_position.png",4,220,900)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0.418122846</v>
      </c>
      <c r="G840" t="n">
        <v>0.0009993234908895999</v>
      </c>
      <c r="H840" t="n">
        <v>0.048419709478166</v>
      </c>
      <c r="I840" t="n">
        <v>0.009158909503473599</v>
      </c>
      <c r="J840" t="n">
        <v>0.0777475252981767</v>
      </c>
      <c r="K840" t="n">
        <v>0.2671377382709707</v>
      </c>
      <c r="L840" t="b">
        <v>1</v>
      </c>
      <c r="M840" t="b">
        <v>1</v>
      </c>
      <c r="N840" t="inlineStr">
        <is>
          <t>alt</t>
        </is>
      </c>
      <c r="O840" t="n">
        <v>90</v>
      </c>
      <c r="P840" t="n">
        <v>0.03955</v>
      </c>
      <c r="Q840" t="n">
        <v>-60</v>
      </c>
      <c r="R840" t="n">
        <v>0.0586</v>
      </c>
      <c r="S840">
        <f>IMAGE("https://mitra.stanford.edu/kundaje/oak/projects/neuro-variants/variant_position/credible/roussos_2024/variant_figures/roussos_2024.infant.GLU/rs1814453_count_position.png",4,220,900)</f>
        <v/>
      </c>
      <c r="T840">
        <f>IMAGE("https://mitra.stanford.edu/kundaje/oak/projects/neuro-variants/variant_position/credible/roussos_2024/variant_figures/roussos_2024.infant.GLU/rs1814453_profile_position.png",4,220,900)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0.0401703944</v>
      </c>
      <c r="G841" t="n">
        <v>0.2276739016171462</v>
      </c>
      <c r="H841" t="n">
        <v>0.0337315008487725</v>
      </c>
      <c r="I841" t="n">
        <v>0.0385488040573469</v>
      </c>
      <c r="J841" t="n">
        <v>0.5873046142992571</v>
      </c>
      <c r="K841" t="n">
        <v>0.0224947875050108</v>
      </c>
      <c r="L841" t="b">
        <v>0</v>
      </c>
      <c r="M841" t="b">
        <v>0</v>
      </c>
      <c r="N841" t="inlineStr">
        <is>
          <t>alt</t>
        </is>
      </c>
      <c r="O841" t="n">
        <v>75</v>
      </c>
      <c r="P841" t="n">
        <v>0.03482</v>
      </c>
      <c r="Q841" t="n">
        <v>95</v>
      </c>
      <c r="R841" t="n">
        <v>0.3472</v>
      </c>
      <c r="S841">
        <f>IMAGE("https://mitra.stanford.edu/kundaje/oak/projects/neuro-variants/variant_position/credible/roussos_2024/variant_figures/roussos_2024.infant.GLU/rs3794799_count_position.png",4,220,900)</f>
        <v/>
      </c>
      <c r="T841">
        <f>IMAGE("https://mitra.stanford.edu/kundaje/oak/projects/neuro-variants/variant_position/credible/roussos_2024/variant_figures/roussos_2024.infant.GLU/rs3794799_profile_position.png",4,220,900)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0.010529219</v>
      </c>
      <c r="G842" t="n">
        <v>0.4092017825693084</v>
      </c>
      <c r="H842" t="n">
        <v>0.0336235351162314</v>
      </c>
      <c r="I842" t="n">
        <v>0.0394805307417255</v>
      </c>
      <c r="J842" t="n">
        <v>0.0288608655393636</v>
      </c>
      <c r="K842" t="n">
        <v>0.5115331721810015</v>
      </c>
      <c r="L842" t="b">
        <v>0</v>
      </c>
      <c r="M842" t="b">
        <v>0</v>
      </c>
      <c r="N842" t="inlineStr">
        <is>
          <t>alt</t>
        </is>
      </c>
      <c r="O842" t="n">
        <v>-85</v>
      </c>
      <c r="P842" t="n">
        <v>0.005653</v>
      </c>
      <c r="Q842" t="n">
        <v>75</v>
      </c>
      <c r="R842" t="n">
        <v>0.05612</v>
      </c>
      <c r="S842">
        <f>IMAGE("https://mitra.stanford.edu/kundaje/oak/projects/neuro-variants/variant_position/credible/roussos_2024/variant_figures/roussos_2024.infant.GLU/rs6419378_count_position.png",4,220,900)</f>
        <v/>
      </c>
      <c r="T842">
        <f>IMAGE("https://mitra.stanford.edu/kundaje/oak/projects/neuro-variants/variant_position/credible/roussos_2024/variant_figures/roussos_2024.infant.GLU/rs6419378_profile_position.png",4,220,900)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0.01122102312</v>
      </c>
      <c r="G843" t="n">
        <v>0.6321202385576792</v>
      </c>
      <c r="H843" t="n">
        <v>0.0228878781300191</v>
      </c>
      <c r="I843" t="n">
        <v>0.1290365409063744</v>
      </c>
      <c r="J843" t="n">
        <v>0.0059029079124318</v>
      </c>
      <c r="K843" t="n">
        <v>0.7392026052757262</v>
      </c>
      <c r="L843" t="b">
        <v>0</v>
      </c>
      <c r="M843" t="b">
        <v>0</v>
      </c>
      <c r="N843" t="inlineStr">
        <is>
          <t>alt</t>
        </is>
      </c>
      <c r="O843" t="n">
        <v>-15</v>
      </c>
      <c r="P843" t="n">
        <v>0.002289</v>
      </c>
      <c r="Q843" t="n">
        <v>-80</v>
      </c>
      <c r="R843" t="n">
        <v>0.05176</v>
      </c>
      <c r="S843">
        <f>IMAGE("https://mitra.stanford.edu/kundaje/oak/projects/neuro-variants/variant_position/credible/roussos_2024/variant_figures/roussos_2024.infant.GLU/rs2372634_count_position.png",4,220,900)</f>
        <v/>
      </c>
      <c r="T843">
        <f>IMAGE("https://mitra.stanford.edu/kundaje/oak/projects/neuro-variants/variant_position/credible/roussos_2024/variant_figures/roussos_2024.infant.GLU/rs2372634_profile_position.png",4,220,900)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-0.01151716242</v>
      </c>
      <c r="G844" t="n">
        <v>0.6518264661572972</v>
      </c>
      <c r="H844" t="n">
        <v>0.018218350244991</v>
      </c>
      <c r="I844" t="n">
        <v>0.2298286067728011</v>
      </c>
      <c r="J844" t="n">
        <v>0.1379682091756872</v>
      </c>
      <c r="K844" t="n">
        <v>0.1651294021824325</v>
      </c>
      <c r="L844" t="b">
        <v>0</v>
      </c>
      <c r="M844" t="b">
        <v>0</v>
      </c>
      <c r="N844" t="inlineStr">
        <is>
          <t>ref</t>
        </is>
      </c>
      <c r="O844" t="n">
        <v>-30</v>
      </c>
      <c r="P844" t="n">
        <v>0.001045</v>
      </c>
      <c r="Q844" t="n">
        <v>80</v>
      </c>
      <c r="R844" t="n">
        <v>0.1029</v>
      </c>
      <c r="S844">
        <f>IMAGE("https://mitra.stanford.edu/kundaje/oak/projects/neuro-variants/variant_position/credible/roussos_2024/variant_figures/roussos_2024.infant.GLU/rs7975384_count_position.png",4,220,900)</f>
        <v/>
      </c>
      <c r="T844">
        <f>IMAGE("https://mitra.stanford.edu/kundaje/oak/projects/neuro-variants/variant_position/credible/roussos_2024/variant_figures/roussos_2024.infant.GLU/rs7975384_profile_position.png",4,220,900)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0.08095160160000001</v>
      </c>
      <c r="G845" t="n">
        <v>0.0819934021522304</v>
      </c>
      <c r="H845" t="n">
        <v>0.0156319533893047</v>
      </c>
      <c r="I845" t="n">
        <v>0.3391384419039681</v>
      </c>
      <c r="J845" t="n">
        <v>0.0004784056085892</v>
      </c>
      <c r="K845" t="n">
        <v>0.9436659214417088</v>
      </c>
      <c r="L845" t="b">
        <v>0</v>
      </c>
      <c r="M845" t="b">
        <v>0</v>
      </c>
      <c r="N845" t="inlineStr">
        <is>
          <t>alt</t>
        </is>
      </c>
      <c r="O845" t="n">
        <v>-45</v>
      </c>
      <c r="P845" t="n">
        <v>0.004677</v>
      </c>
      <c r="Q845" t="n">
        <v>10</v>
      </c>
      <c r="R845" t="n">
        <v>0.02364</v>
      </c>
      <c r="S845">
        <f>IMAGE("https://mitra.stanford.edu/kundaje/oak/projects/neuro-variants/variant_position/credible/roussos_2024/variant_figures/roussos_2024.infant.GLU/rs2372636_count_position.png",4,220,900)</f>
        <v/>
      </c>
      <c r="T845">
        <f>IMAGE("https://mitra.stanford.edu/kundaje/oak/projects/neuro-variants/variant_position/credible/roussos_2024/variant_figures/roussos_2024.infant.GLU/rs2372636_profile_position.png",4,220,900)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-0.0468517536</v>
      </c>
      <c r="G846" t="n">
        <v>0.1954504410915689</v>
      </c>
      <c r="H846" t="n">
        <v>0.0289763959973618</v>
      </c>
      <c r="I846" t="n">
        <v>0.06447712111199649</v>
      </c>
      <c r="J846" t="n">
        <v>0.2946967525739103</v>
      </c>
      <c r="K846" t="n">
        <v>0.0721137111742072</v>
      </c>
      <c r="L846" t="b">
        <v>0</v>
      </c>
      <c r="M846" t="b">
        <v>0</v>
      </c>
      <c r="N846" t="inlineStr">
        <is>
          <t>ref</t>
        </is>
      </c>
      <c r="O846" t="n">
        <v>-95</v>
      </c>
      <c r="P846" t="n">
        <v>0.03418</v>
      </c>
      <c r="Q846" t="n">
        <v>-100</v>
      </c>
      <c r="R846" t="n">
        <v>0.3076</v>
      </c>
      <c r="S846">
        <f>IMAGE("https://mitra.stanford.edu/kundaje/oak/projects/neuro-variants/variant_position/credible/roussos_2024/variant_figures/roussos_2024.infant.GLU/rs2372638_count_position.png",4,220,900)</f>
        <v/>
      </c>
      <c r="T846">
        <f>IMAGE("https://mitra.stanford.edu/kundaje/oak/projects/neuro-variants/variant_position/credible/roussos_2024/variant_figures/roussos_2024.infant.GLU/rs2372638_profile_position.png",4,220,900)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-0.01692769</v>
      </c>
      <c r="G847" t="n">
        <v>0.4928925739751369</v>
      </c>
      <c r="H847" t="n">
        <v>0.0411290868277038</v>
      </c>
      <c r="I847" t="n">
        <v>0.0180715570942755</v>
      </c>
      <c r="J847" t="n">
        <v>0.1054741065720143</v>
      </c>
      <c r="K847" t="n">
        <v>0.2037065637667825</v>
      </c>
      <c r="L847" t="b">
        <v>1</v>
      </c>
      <c r="M847" t="b">
        <v>0</v>
      </c>
      <c r="N847" t="inlineStr">
        <is>
          <t>ref</t>
        </is>
      </c>
      <c r="O847" t="n">
        <v>100</v>
      </c>
      <c r="P847" t="n">
        <v>0.00509</v>
      </c>
      <c r="Q847" t="n">
        <v>95</v>
      </c>
      <c r="R847" t="n">
        <v>0.03644</v>
      </c>
      <c r="S847">
        <f>IMAGE("https://mitra.stanford.edu/kundaje/oak/projects/neuro-variants/variant_position/credible/roussos_2024/variant_figures/roussos_2024.infant.GLU/rs7137868_count_position.png",4,220,900)</f>
        <v/>
      </c>
      <c r="T847">
        <f>IMAGE("https://mitra.stanford.edu/kundaje/oak/projects/neuro-variants/variant_position/credible/roussos_2024/variant_figures/roussos_2024.infant.GLU/rs7137868_profile_position.png",4,220,900)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-0.0267695342</v>
      </c>
      <c r="G848" t="n">
        <v>0.3544068662567131</v>
      </c>
      <c r="H848" t="n">
        <v>0.0386010383584849</v>
      </c>
      <c r="I848" t="n">
        <v>0.0233435476271414</v>
      </c>
      <c r="J848" t="n">
        <v>0.0701955510483034</v>
      </c>
      <c r="K848" t="n">
        <v>0.2777801932135791</v>
      </c>
      <c r="L848" t="b">
        <v>0</v>
      </c>
      <c r="M848" t="b">
        <v>0</v>
      </c>
      <c r="N848" t="inlineStr">
        <is>
          <t>ref</t>
        </is>
      </c>
      <c r="O848" t="n">
        <v>-35</v>
      </c>
      <c r="P848" t="n">
        <v>0.00561</v>
      </c>
      <c r="Q848" t="n">
        <v>100</v>
      </c>
      <c r="R848" t="n">
        <v>0.08795</v>
      </c>
      <c r="S848">
        <f>IMAGE("https://mitra.stanford.edu/kundaje/oak/projects/neuro-variants/variant_position/credible/roussos_2024/variant_figures/roussos_2024.infant.GLU/rs6538897_count_position.png",4,220,900)</f>
        <v/>
      </c>
      <c r="T848">
        <f>IMAGE("https://mitra.stanford.edu/kundaje/oak/projects/neuro-variants/variant_position/credible/roussos_2024/variant_figures/roussos_2024.infant.GLU/rs6538897_profile_position.png",4,220,900)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-0.119544242</v>
      </c>
      <c r="G849" t="n">
        <v>0.042101081344121</v>
      </c>
      <c r="H849" t="n">
        <v>0.0183625882086083</v>
      </c>
      <c r="I849" t="n">
        <v>0.2396226105578981</v>
      </c>
      <c r="J849" t="n">
        <v>0.106915937300205</v>
      </c>
      <c r="K849" t="n">
        <v>0.2017294411626117</v>
      </c>
      <c r="L849" t="b">
        <v>0</v>
      </c>
      <c r="M849" t="b">
        <v>0</v>
      </c>
      <c r="N849" t="inlineStr">
        <is>
          <t>ref</t>
        </is>
      </c>
      <c r="O849" t="n">
        <v>100</v>
      </c>
      <c r="P849" t="n">
        <v>0.0238</v>
      </c>
      <c r="Q849" t="n">
        <v>100</v>
      </c>
      <c r="R849" t="n">
        <v>0.08790000000000001</v>
      </c>
      <c r="S849">
        <f>IMAGE("https://mitra.stanford.edu/kundaje/oak/projects/neuro-variants/variant_position/credible/roussos_2024/variant_figures/roussos_2024.infant.GLU/rs7299393_count_position.png",4,220,900)</f>
        <v/>
      </c>
      <c r="T849">
        <f>IMAGE("https://mitra.stanford.edu/kundaje/oak/projects/neuro-variants/variant_position/credible/roussos_2024/variant_figures/roussos_2024.infant.GLU/rs7299393_profile_position.png",4,220,900)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-0.0614294864</v>
      </c>
      <c r="G850" t="n">
        <v>0.1409324438212558</v>
      </c>
      <c r="H850" t="n">
        <v>0.0154124066016515</v>
      </c>
      <c r="I850" t="n">
        <v>0.3467842042890955</v>
      </c>
      <c r="J850" t="n">
        <v>0.4854968143036663</v>
      </c>
      <c r="K850" t="n">
        <v>0.0326631310846785</v>
      </c>
      <c r="L850" t="b">
        <v>0</v>
      </c>
      <c r="M850" t="b">
        <v>0</v>
      </c>
      <c r="N850" t="inlineStr">
        <is>
          <t>ref</t>
        </is>
      </c>
      <c r="O850" t="n">
        <v>-95</v>
      </c>
      <c r="P850" t="n">
        <v>0.1436</v>
      </c>
      <c r="Q850" t="n">
        <v>-100</v>
      </c>
      <c r="R850" t="n">
        <v>0.2964</v>
      </c>
      <c r="S850">
        <f>IMAGE("https://mitra.stanford.edu/kundaje/oak/projects/neuro-variants/variant_position/credible/roussos_2024/variant_figures/roussos_2024.infant.GLU/rs10860390_count_position.png",4,220,900)</f>
        <v/>
      </c>
      <c r="T850">
        <f>IMAGE("https://mitra.stanford.edu/kundaje/oak/projects/neuro-variants/variant_position/credible/roussos_2024/variant_figures/roussos_2024.infant.GLU/rs10860390_profile_position.png",4,220,900)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-0.0886072212</v>
      </c>
      <c r="G851" t="n">
        <v>0.08069710556057071</v>
      </c>
      <c r="H851" t="n">
        <v>0.0168430686921975</v>
      </c>
      <c r="I851" t="n">
        <v>0.2781288121325695</v>
      </c>
      <c r="J851" t="n">
        <v>0.0152307149628518</v>
      </c>
      <c r="K851" t="n">
        <v>0.5834213128040654</v>
      </c>
      <c r="L851" t="b">
        <v>0</v>
      </c>
      <c r="M851" t="b">
        <v>0</v>
      </c>
      <c r="N851" t="inlineStr">
        <is>
          <t>ref</t>
        </is>
      </c>
      <c r="O851" t="n">
        <v>-100</v>
      </c>
      <c r="P851" t="n">
        <v>0.1597</v>
      </c>
      <c r="Q851" t="n">
        <v>-100</v>
      </c>
      <c r="R851" t="n">
        <v>0.0188</v>
      </c>
      <c r="S851">
        <f>IMAGE("https://mitra.stanford.edu/kundaje/oak/projects/neuro-variants/variant_position/credible/roussos_2024/variant_figures/roussos_2024.infant.GLU/rs10745841_count_position.png",4,220,900)</f>
        <v/>
      </c>
      <c r="T851">
        <f>IMAGE("https://mitra.stanford.edu/kundaje/oak/projects/neuro-variants/variant_position/credible/roussos_2024/variant_figures/roussos_2024.infant.GLU/rs10745841_profile_position.png",4,220,900)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0.1049506868</v>
      </c>
      <c r="G852" t="n">
        <v>0.0457150784213151</v>
      </c>
      <c r="H852" t="n">
        <v>0.020674847148029</v>
      </c>
      <c r="I852" t="n">
        <v>0.1687617252450463</v>
      </c>
      <c r="J852" t="n">
        <v>0.1639266738684714</v>
      </c>
      <c r="K852" t="n">
        <v>0.1332608520190008</v>
      </c>
      <c r="L852" t="b">
        <v>0</v>
      </c>
      <c r="M852" t="b">
        <v>0</v>
      </c>
      <c r="N852" t="inlineStr">
        <is>
          <t>alt</t>
        </is>
      </c>
      <c r="O852" t="n">
        <v>95</v>
      </c>
      <c r="P852" t="n">
        <v>0.008574999999999999</v>
      </c>
      <c r="Q852" t="n">
        <v>-100</v>
      </c>
      <c r="R852" t="n">
        <v>0.1587</v>
      </c>
      <c r="S852">
        <f>IMAGE("https://mitra.stanford.edu/kundaje/oak/projects/neuro-variants/variant_position/credible/roussos_2024/variant_figures/roussos_2024.infant.GLU/rs80096598_count_position.png",4,220,900)</f>
        <v/>
      </c>
      <c r="T852">
        <f>IMAGE("https://mitra.stanford.edu/kundaje/oak/projects/neuro-variants/variant_position/credible/roussos_2024/variant_figures/roussos_2024.infant.GLU/rs80096598_profile_position.png",4,220,900)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-0.0307684332</v>
      </c>
      <c r="G853" t="n">
        <v>0.3142887788351465</v>
      </c>
      <c r="H853" t="n">
        <v>0.010485700285018</v>
      </c>
      <c r="I853" t="n">
        <v>0.6864366011044567</v>
      </c>
      <c r="J853" t="n">
        <v>0.080011684560947</v>
      </c>
      <c r="K853" t="n">
        <v>0.2460910714650819</v>
      </c>
      <c r="L853" t="b">
        <v>0</v>
      </c>
      <c r="M853" t="b">
        <v>0</v>
      </c>
      <c r="N853" t="inlineStr">
        <is>
          <t>ref</t>
        </is>
      </c>
      <c r="O853" t="n">
        <v>-95</v>
      </c>
      <c r="P853" t="n">
        <v>0.04395</v>
      </c>
      <c r="Q853" t="n">
        <v>-75</v>
      </c>
      <c r="R853" t="n">
        <v>0.1181</v>
      </c>
      <c r="S853">
        <f>IMAGE("https://mitra.stanford.edu/kundaje/oak/projects/neuro-variants/variant_position/credible/roussos_2024/variant_figures/roussos_2024.infant.GLU/rs117856328_count_position.png",4,220,900)</f>
        <v/>
      </c>
      <c r="T853">
        <f>IMAGE("https://mitra.stanford.edu/kundaje/oak/projects/neuro-variants/variant_position/credible/roussos_2024/variant_figures/roussos_2024.infant.GLU/rs117856328_profile_position.png",4,220,900)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-0.04405739066</v>
      </c>
      <c r="G854" t="n">
        <v>0.2175979354528164</v>
      </c>
      <c r="H854" t="n">
        <v>0.0122665293734616</v>
      </c>
      <c r="I854" t="n">
        <v>0.5115838933287971</v>
      </c>
      <c r="J854" t="n">
        <v>0.2171244956899402</v>
      </c>
      <c r="K854" t="n">
        <v>0.1030873379216474</v>
      </c>
      <c r="L854" t="b">
        <v>0</v>
      </c>
      <c r="M854" t="b">
        <v>0</v>
      </c>
      <c r="N854" t="inlineStr">
        <is>
          <t>ref</t>
        </is>
      </c>
      <c r="O854" t="n">
        <v>-100</v>
      </c>
      <c r="P854" t="n">
        <v>0.417</v>
      </c>
      <c r="Q854" t="n">
        <v>100</v>
      </c>
      <c r="R854" t="n">
        <v>0.1729</v>
      </c>
      <c r="S854">
        <f>IMAGE("https://mitra.stanford.edu/kundaje/oak/projects/neuro-variants/variant_position/credible/roussos_2024/variant_figures/roussos_2024.infant.GLU/rs77165492_count_position.png",4,220,900)</f>
        <v/>
      </c>
      <c r="T854">
        <f>IMAGE("https://mitra.stanford.edu/kundaje/oak/projects/neuro-variants/variant_position/credible/roussos_2024/variant_figures/roussos_2024.infant.GLU/rs77165492_profile_position.png",4,220,900)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-0.00319044197</v>
      </c>
      <c r="G855" t="n">
        <v>0.8676382747439509</v>
      </c>
      <c r="H855" t="n">
        <v>0.0083939179264536</v>
      </c>
      <c r="I855" t="n">
        <v>0.8699595076108149</v>
      </c>
      <c r="J855" t="n">
        <v>0.0833748539429881</v>
      </c>
      <c r="K855" t="n">
        <v>0.2409901419559324</v>
      </c>
      <c r="L855" t="b">
        <v>0</v>
      </c>
      <c r="M855" t="b">
        <v>0</v>
      </c>
      <c r="N855" t="inlineStr">
        <is>
          <t>ref</t>
        </is>
      </c>
      <c r="O855" t="n">
        <v>-60</v>
      </c>
      <c r="P855" t="n">
        <v>0.008710000000000001</v>
      </c>
      <c r="Q855" t="n">
        <v>100</v>
      </c>
      <c r="R855" t="n">
        <v>0.1353</v>
      </c>
      <c r="S855">
        <f>IMAGE("https://mitra.stanford.edu/kundaje/oak/projects/neuro-variants/variant_position/credible/roussos_2024/variant_figures/roussos_2024.infant.GLU/rs76093694_count_position.png",4,220,900)</f>
        <v/>
      </c>
      <c r="T855">
        <f>IMAGE("https://mitra.stanford.edu/kundaje/oak/projects/neuro-variants/variant_position/credible/roussos_2024/variant_figures/roussos_2024.infant.GLU/rs76093694_profile_position.png",4,220,900)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0.015824793</v>
      </c>
      <c r="G856" t="n">
        <v>0.5047362169680204</v>
      </c>
      <c r="H856" t="n">
        <v>0.0353160243559598</v>
      </c>
      <c r="I856" t="n">
        <v>0.0328062897370845</v>
      </c>
      <c r="J856" t="n">
        <v>0.0006503670715844</v>
      </c>
      <c r="K856" t="n">
        <v>0.917034083419346</v>
      </c>
      <c r="L856" t="b">
        <v>0</v>
      </c>
      <c r="M856" t="b">
        <v>0</v>
      </c>
      <c r="N856" t="inlineStr">
        <is>
          <t>alt</t>
        </is>
      </c>
      <c r="O856" t="n">
        <v>90</v>
      </c>
      <c r="P856" t="n">
        <v>0.01978</v>
      </c>
      <c r="Q856" t="n">
        <v>55</v>
      </c>
      <c r="R856" t="n">
        <v>0.08185000000000001</v>
      </c>
      <c r="S856">
        <f>IMAGE("https://mitra.stanford.edu/kundaje/oak/projects/neuro-variants/variant_position/credible/roussos_2024/variant_figures/roussos_2024.infant.GLU/rs12582033_count_position.png",4,220,900)</f>
        <v/>
      </c>
      <c r="T856">
        <f>IMAGE("https://mitra.stanford.edu/kundaje/oak/projects/neuro-variants/variant_position/credible/roussos_2024/variant_figures/roussos_2024.infant.GLU/rs12582033_profile_position.png",4,220,900)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-0.0456342306</v>
      </c>
      <c r="G857" t="n">
        <v>0.1976261563924235</v>
      </c>
      <c r="H857" t="n">
        <v>0.0122922122739945</v>
      </c>
      <c r="I857" t="n">
        <v>0.5334671626536198</v>
      </c>
      <c r="J857" t="n">
        <v>0.0070118388853369</v>
      </c>
      <c r="K857" t="n">
        <v>0.7383758644577106</v>
      </c>
      <c r="L857" t="b">
        <v>0</v>
      </c>
      <c r="M857" t="b">
        <v>0</v>
      </c>
      <c r="N857" t="inlineStr">
        <is>
          <t>ref</t>
        </is>
      </c>
      <c r="O857" t="n">
        <v>-100</v>
      </c>
      <c r="P857" t="n">
        <v>0.01135</v>
      </c>
      <c r="Q857" t="n">
        <v>45</v>
      </c>
      <c r="R857" t="n">
        <v>0.0169</v>
      </c>
      <c r="S857">
        <f>IMAGE("https://mitra.stanford.edu/kundaje/oak/projects/neuro-variants/variant_position/credible/roussos_2024/variant_figures/roussos_2024.infant.GLU/rs77743764_count_position.png",4,220,900)</f>
        <v/>
      </c>
      <c r="T857">
        <f>IMAGE("https://mitra.stanford.edu/kundaje/oak/projects/neuro-variants/variant_position/credible/roussos_2024/variant_figures/roussos_2024.infant.GLU/rs77743764_profile_position.png",4,220,900)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0.0397298913</v>
      </c>
      <c r="G858" t="n">
        <v>0.2315839145382356</v>
      </c>
      <c r="H858" t="n">
        <v>0.0223051563998539</v>
      </c>
      <c r="I858" t="n">
        <v>0.1439655780573545</v>
      </c>
      <c r="J858" t="n">
        <v>0.2216098238497321</v>
      </c>
      <c r="K858" t="n">
        <v>0.1008755088340931</v>
      </c>
      <c r="L858" t="b">
        <v>0</v>
      </c>
      <c r="M858" t="b">
        <v>0</v>
      </c>
      <c r="N858" t="inlineStr">
        <is>
          <t>alt</t>
        </is>
      </c>
      <c r="O858" t="n">
        <v>-80</v>
      </c>
      <c r="P858" t="n">
        <v>0.01987</v>
      </c>
      <c r="Q858" t="n">
        <v>-75</v>
      </c>
      <c r="R858" t="n">
        <v>0.02997</v>
      </c>
      <c r="S858">
        <f>IMAGE("https://mitra.stanford.edu/kundaje/oak/projects/neuro-variants/variant_position/credible/roussos_2024/variant_figures/roussos_2024.infant.GLU/rs61939221_count_position.png",4,220,900)</f>
        <v/>
      </c>
      <c r="T858">
        <f>IMAGE("https://mitra.stanford.edu/kundaje/oak/projects/neuro-variants/variant_position/credible/roussos_2024/variant_figures/roussos_2024.infant.GLU/rs61939221_profile_position.png",4,220,900)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-0.0138589427</v>
      </c>
      <c r="G859" t="n">
        <v>0.5567467519308034</v>
      </c>
      <c r="H859" t="n">
        <v>0.0504874335194368</v>
      </c>
      <c r="I859" t="n">
        <v>0.0073281416295054</v>
      </c>
      <c r="J859" t="n">
        <v>0.0181705945898277</v>
      </c>
      <c r="K859" t="n">
        <v>0.5775801953401369</v>
      </c>
      <c r="L859" t="b">
        <v>1</v>
      </c>
      <c r="M859" t="b">
        <v>0</v>
      </c>
      <c r="N859" t="inlineStr">
        <is>
          <t>ref</t>
        </is>
      </c>
      <c r="O859" t="n">
        <v>-20</v>
      </c>
      <c r="P859" t="n">
        <v>0.001953</v>
      </c>
      <c r="Q859" t="n">
        <v>100</v>
      </c>
      <c r="R859" t="n">
        <v>0.0311</v>
      </c>
      <c r="S859">
        <f>IMAGE("https://mitra.stanford.edu/kundaje/oak/projects/neuro-variants/variant_position/credible/roussos_2024/variant_figures/roussos_2024.infant.GLU/rs4609668_count_position.png",4,220,900)</f>
        <v/>
      </c>
      <c r="T859">
        <f>IMAGE("https://mitra.stanford.edu/kundaje/oak/projects/neuro-variants/variant_position/credible/roussos_2024/variant_figures/roussos_2024.infant.GLU/rs4609668_profile_position.png",4,220,900)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-0.0132965719999999</v>
      </c>
      <c r="G860" t="n">
        <v>0.5721653576777355</v>
      </c>
      <c r="H860" t="n">
        <v>0.0167251770795765</v>
      </c>
      <c r="I860" t="n">
        <v>0.2833495662653059</v>
      </c>
      <c r="J860" t="n">
        <v>0.0647368769152758</v>
      </c>
      <c r="K860" t="n">
        <v>0.2871302044060438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0.0184</v>
      </c>
      <c r="Q860" t="n">
        <v>100</v>
      </c>
      <c r="R860" t="n">
        <v>0.11304</v>
      </c>
      <c r="S860">
        <f>IMAGE("https://mitra.stanford.edu/kundaje/oak/projects/neuro-variants/variant_position/credible/roussos_2024/variant_figures/roussos_2024.infant.GLU/rs4445711_count_position.png",4,220,900)</f>
        <v/>
      </c>
      <c r="T860">
        <f>IMAGE("https://mitra.stanford.edu/kundaje/oak/projects/neuro-variants/variant_position/credible/roussos_2024/variant_figures/roussos_2024.infant.GLU/rs4445711_profile_position.png",4,220,900)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0.000686530026</v>
      </c>
      <c r="G861" t="n">
        <v>0.7555823292034495</v>
      </c>
      <c r="H861" t="n">
        <v>0.0114888987961492</v>
      </c>
      <c r="I861" t="n">
        <v>0.6003837235364247</v>
      </c>
      <c r="J861" t="n">
        <v>0.002990586212218</v>
      </c>
      <c r="K861" t="n">
        <v>0.8066073456583936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0.00546</v>
      </c>
      <c r="Q861" t="n">
        <v>0</v>
      </c>
      <c r="R861" t="n">
        <v>0</v>
      </c>
      <c r="S861">
        <f>IMAGE("https://mitra.stanford.edu/kundaje/oak/projects/neuro-variants/variant_position/credible/roussos_2024/variant_figures/roussos_2024.infant.GLU/rs1981936_count_position.png",4,220,900)</f>
        <v/>
      </c>
      <c r="T861">
        <f>IMAGE("https://mitra.stanford.edu/kundaje/oak/projects/neuro-variants/variant_position/credible/roussos_2024/variant_figures/roussos_2024.infant.GLU/rs1981936_profile_position.png",4,220,900)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-0.1436435509999999</v>
      </c>
      <c r="G862" t="n">
        <v>0.0258028945227957</v>
      </c>
      <c r="H862" t="n">
        <v>0.0151953884624506</v>
      </c>
      <c r="I862" t="n">
        <v>0.3564533289528787</v>
      </c>
      <c r="J862" t="n">
        <v>0.0388566767344958</v>
      </c>
      <c r="K862" t="n">
        <v>0.4051726175717118</v>
      </c>
      <c r="L862" t="b">
        <v>0</v>
      </c>
      <c r="M862" t="b">
        <v>0</v>
      </c>
      <c r="N862" t="inlineStr">
        <is>
          <t>ref</t>
        </is>
      </c>
      <c r="O862" t="n">
        <v>100</v>
      </c>
      <c r="P862" t="n">
        <v>0.08749999999999999</v>
      </c>
      <c r="Q862" t="n">
        <v>-65</v>
      </c>
      <c r="R862" t="n">
        <v>0.0654</v>
      </c>
      <c r="S862">
        <f>IMAGE("https://mitra.stanford.edu/kundaje/oak/projects/neuro-variants/variant_position/credible/roussos_2024/variant_figures/roussos_2024.infant.GLU/rs7976025_count_position.png",4,220,900)</f>
        <v/>
      </c>
      <c r="T862">
        <f>IMAGE("https://mitra.stanford.edu/kundaje/oak/projects/neuro-variants/variant_position/credible/roussos_2024/variant_figures/roussos_2024.infant.GLU/rs7976025_profile_position.png",4,220,900)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0.0457223473999999</v>
      </c>
      <c r="G863" t="n">
        <v>0.1914512056060668</v>
      </c>
      <c r="H863" t="n">
        <v>0.0120406464880397</v>
      </c>
      <c r="I863" t="n">
        <v>0.5556490278539746</v>
      </c>
      <c r="J863" t="n">
        <v>0.0458398553760003</v>
      </c>
      <c r="K863" t="n">
        <v>0.3623969461384144</v>
      </c>
      <c r="L863" t="b">
        <v>0</v>
      </c>
      <c r="M863" t="b">
        <v>0</v>
      </c>
      <c r="N863" t="inlineStr">
        <is>
          <t>alt</t>
        </is>
      </c>
      <c r="O863" t="n">
        <v>-100</v>
      </c>
      <c r="P863" t="n">
        <v>0.0299</v>
      </c>
      <c r="Q863" t="n">
        <v>25</v>
      </c>
      <c r="R863" t="n">
        <v>0.0198</v>
      </c>
      <c r="S863">
        <f>IMAGE("https://mitra.stanford.edu/kundaje/oak/projects/neuro-variants/variant_position/credible/roussos_2024/variant_figures/roussos_2024.infant.GLU/rs10778611_count_position.png",4,220,900)</f>
        <v/>
      </c>
      <c r="T863">
        <f>IMAGE("https://mitra.stanford.edu/kundaje/oak/projects/neuro-variants/variant_position/credible/roussos_2024/variant_figures/roussos_2024.infant.GLU/rs10778611_profile_position.png",4,220,900)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-0.223782218</v>
      </c>
      <c r="G864" t="n">
        <v>0.0089451272374086</v>
      </c>
      <c r="H864" t="n">
        <v>0.0322017944116624</v>
      </c>
      <c r="I864" t="n">
        <v>0.047446141375185</v>
      </c>
      <c r="J864" t="n">
        <v>0.5104753191207919</v>
      </c>
      <c r="K864" t="n">
        <v>0.0297232279298923</v>
      </c>
      <c r="L864" t="b">
        <v>1</v>
      </c>
      <c r="M864" t="b">
        <v>1</v>
      </c>
      <c r="N864" t="inlineStr">
        <is>
          <t>ref</t>
        </is>
      </c>
      <c r="O864" t="n">
        <v>-15</v>
      </c>
      <c r="P864" t="n">
        <v>0.0003662</v>
      </c>
      <c r="Q864" t="n">
        <v>-15</v>
      </c>
      <c r="R864" t="n">
        <v>0.01514</v>
      </c>
      <c r="S864">
        <f>IMAGE("https://mitra.stanford.edu/kundaje/oak/projects/neuro-variants/variant_position/credible/roussos_2024/variant_figures/roussos_2024.infant.GLU/rs4964233_count_position.png",4,220,900)</f>
        <v/>
      </c>
      <c r="T864">
        <f>IMAGE("https://mitra.stanford.edu/kundaje/oak/projects/neuro-variants/variant_position/credible/roussos_2024/variant_figures/roussos_2024.infant.GLU/rs4964233_profile_position.png",4,220,900)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0.0429323812</v>
      </c>
      <c r="G865" t="n">
        <v>0.2038661897312109</v>
      </c>
      <c r="H865" t="n">
        <v>0.0076810281066601</v>
      </c>
      <c r="I865" t="n">
        <v>0.9293568746552534</v>
      </c>
      <c r="J865" t="n">
        <v>0.2551886064507594</v>
      </c>
      <c r="K865" t="n">
        <v>0.0834664040009846</v>
      </c>
      <c r="L865" t="b">
        <v>0</v>
      </c>
      <c r="M865" t="b">
        <v>0</v>
      </c>
      <c r="N865" t="inlineStr">
        <is>
          <t>alt</t>
        </is>
      </c>
      <c r="O865" t="n">
        <v>85</v>
      </c>
      <c r="P865" t="n">
        <v>0.001469</v>
      </c>
      <c r="Q865" t="n">
        <v>95</v>
      </c>
      <c r="R865" t="n">
        <v>0.1481</v>
      </c>
      <c r="S865">
        <f>IMAGE("https://mitra.stanford.edu/kundaje/oak/projects/neuro-variants/variant_position/credible/roussos_2024/variant_figures/roussos_2024.infant.GLU/rs2374969_count_position.png",4,220,900)</f>
        <v/>
      </c>
      <c r="T865">
        <f>IMAGE("https://mitra.stanford.edu/kundaje/oak/projects/neuro-variants/variant_position/credible/roussos_2024/variant_figures/roussos_2024.infant.GLU/rs2374969_profile_position.png",4,220,900)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0.0042780009</v>
      </c>
      <c r="G866" t="n">
        <v>0.7193647913806874</v>
      </c>
      <c r="H866" t="n">
        <v>0.0125860028266236</v>
      </c>
      <c r="I866" t="n">
        <v>0.517210953978864</v>
      </c>
      <c r="J866" t="n">
        <v>0.040327167706519</v>
      </c>
      <c r="K866" t="n">
        <v>0.4151834971123743</v>
      </c>
      <c r="L866" t="b">
        <v>0</v>
      </c>
      <c r="M866" t="b">
        <v>0</v>
      </c>
      <c r="N866" t="inlineStr">
        <is>
          <t>alt</t>
        </is>
      </c>
      <c r="O866" t="n">
        <v>55</v>
      </c>
      <c r="P866" t="n">
        <v>0.00465</v>
      </c>
      <c r="Q866" t="n">
        <v>90</v>
      </c>
      <c r="R866" t="n">
        <v>0.0479</v>
      </c>
      <c r="S866">
        <f>IMAGE("https://mitra.stanford.edu/kundaje/oak/projects/neuro-variants/variant_position/credible/roussos_2024/variant_figures/roussos_2024.infant.GLU/rs10778612_count_position.png",4,220,900)</f>
        <v/>
      </c>
      <c r="T866">
        <f>IMAGE("https://mitra.stanford.edu/kundaje/oak/projects/neuro-variants/variant_position/credible/roussos_2024/variant_figures/roussos_2024.infant.GLU/rs10778612_profile_position.png",4,220,900)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0.0654112812</v>
      </c>
      <c r="G867" t="n">
        <v>0.1090011983724075</v>
      </c>
      <c r="H867" t="n">
        <v>0.0118098101259732</v>
      </c>
      <c r="I867" t="n">
        <v>0.576893254955774</v>
      </c>
      <c r="J867" t="n">
        <v>0.0259397253025859</v>
      </c>
      <c r="K867" t="n">
        <v>0.5171355414977558</v>
      </c>
      <c r="L867" t="b">
        <v>0</v>
      </c>
      <c r="M867" t="b">
        <v>0</v>
      </c>
      <c r="N867" t="inlineStr">
        <is>
          <t>alt</t>
        </is>
      </c>
      <c r="O867" t="n">
        <v>-100</v>
      </c>
      <c r="P867" t="n">
        <v>0.05032</v>
      </c>
      <c r="Q867" t="n">
        <v>-75</v>
      </c>
      <c r="R867" t="n">
        <v>0.1677</v>
      </c>
      <c r="S867">
        <f>IMAGE("https://mitra.stanford.edu/kundaje/oak/projects/neuro-variants/variant_position/credible/roussos_2024/variant_figures/roussos_2024.infant.GLU/rs10778613_count_position.png",4,220,900)</f>
        <v/>
      </c>
      <c r="T867">
        <f>IMAGE("https://mitra.stanford.edu/kundaje/oak/projects/neuro-variants/variant_position/credible/roussos_2024/variant_figures/roussos_2024.infant.GLU/rs10778613_profile_position.png",4,220,900)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-0.06405001939999989</v>
      </c>
      <c r="G868" t="n">
        <v>0.1134443837393417</v>
      </c>
      <c r="H868" t="n">
        <v>0.0119380045645676</v>
      </c>
      <c r="I868" t="n">
        <v>0.5613944097656784</v>
      </c>
      <c r="J868" t="n">
        <v>0.001970942922022</v>
      </c>
      <c r="K868" t="n">
        <v>0.8645164794437865</v>
      </c>
      <c r="L868" t="b">
        <v>0</v>
      </c>
      <c r="M868" t="b">
        <v>0</v>
      </c>
      <c r="N868" t="inlineStr">
        <is>
          <t>ref</t>
        </is>
      </c>
      <c r="O868" t="n">
        <v>40</v>
      </c>
      <c r="P868" t="n">
        <v>0.005383</v>
      </c>
      <c r="Q868" t="n">
        <v>-60</v>
      </c>
      <c r="R868" t="n">
        <v>0.02248</v>
      </c>
      <c r="S868">
        <f>IMAGE("https://mitra.stanford.edu/kundaje/oak/projects/neuro-variants/variant_position/credible/roussos_2024/variant_figures/roussos_2024.infant.GLU/rs2162290_count_position.png",4,220,900)</f>
        <v/>
      </c>
      <c r="T868">
        <f>IMAGE("https://mitra.stanford.edu/kundaje/oak/projects/neuro-variants/variant_position/credible/roussos_2024/variant_figures/roussos_2024.infant.GLU/rs2162290_profile_position.png",4,220,900)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-0.22216808</v>
      </c>
      <c r="G869" t="n">
        <v>0.0079666542774527</v>
      </c>
      <c r="H869" t="n">
        <v>0.0433177354814955</v>
      </c>
      <c r="I869" t="n">
        <v>0.014673755153297</v>
      </c>
      <c r="J869" t="n">
        <v>0.2163385436186864</v>
      </c>
      <c r="K869" t="n">
        <v>0.1018819488059563</v>
      </c>
      <c r="L869" t="b">
        <v>1</v>
      </c>
      <c r="M869" t="b">
        <v>1</v>
      </c>
      <c r="N869" t="inlineStr">
        <is>
          <t>ref</t>
        </is>
      </c>
      <c r="O869" t="n">
        <v>-45</v>
      </c>
      <c r="P869" t="n">
        <v>0.001251</v>
      </c>
      <c r="Q869" t="n">
        <v>-55</v>
      </c>
      <c r="R869" t="n">
        <v>0.05176</v>
      </c>
      <c r="S869">
        <f>IMAGE("https://mitra.stanford.edu/kundaje/oak/projects/neuro-variants/variant_position/credible/roussos_2024/variant_figures/roussos_2024.infant.GLU/rs1365309_count_position.png",4,220,900)</f>
        <v/>
      </c>
      <c r="T869">
        <f>IMAGE("https://mitra.stanford.edu/kundaje/oak/projects/neuro-variants/variant_position/credible/roussos_2024/variant_figures/roussos_2024.infant.GLU/rs1365309_profile_position.png",4,220,900)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0.3312318559999999</v>
      </c>
      <c r="G870" t="n">
        <v>0.0020908587098343</v>
      </c>
      <c r="H870" t="n">
        <v>0.044215284773183</v>
      </c>
      <c r="I870" t="n">
        <v>0.0135784389121259</v>
      </c>
      <c r="J870" t="n">
        <v>0.3200820123900438</v>
      </c>
      <c r="K870" t="n">
        <v>0.0655015172010139</v>
      </c>
      <c r="L870" t="b">
        <v>1</v>
      </c>
      <c r="M870" t="b">
        <v>1</v>
      </c>
      <c r="N870" t="inlineStr">
        <is>
          <t>alt</t>
        </is>
      </c>
      <c r="O870" t="n">
        <v>20</v>
      </c>
      <c r="P870" t="n">
        <v>0.001953</v>
      </c>
      <c r="Q870" t="n">
        <v>0</v>
      </c>
      <c r="R870" t="n">
        <v>0</v>
      </c>
      <c r="S870">
        <f>IMAGE("https://mitra.stanford.edu/kundaje/oak/projects/neuro-variants/variant_position/credible/roussos_2024/variant_figures/roussos_2024.infant.GLU/rs1106752_count_position.png",4,220,900)</f>
        <v/>
      </c>
      <c r="T870">
        <f>IMAGE("https://mitra.stanford.edu/kundaje/oak/projects/neuro-variants/variant_position/credible/roussos_2024/variant_figures/roussos_2024.infant.GLU/rs1106752_profile_position.png",4,220,900)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0.06328358199999989</v>
      </c>
      <c r="G871" t="n">
        <v>0.1254589160688464</v>
      </c>
      <c r="H871" t="n">
        <v>0.023619204240431</v>
      </c>
      <c r="I871" t="n">
        <v>0.1245658171711714</v>
      </c>
      <c r="J871" t="n">
        <v>0.0014837187768689</v>
      </c>
      <c r="K871" t="n">
        <v>0.8771542892396628</v>
      </c>
      <c r="L871" t="b">
        <v>0</v>
      </c>
      <c r="M871" t="b">
        <v>0</v>
      </c>
      <c r="N871" t="inlineStr">
        <is>
          <t>alt</t>
        </is>
      </c>
      <c r="O871" t="n">
        <v>50</v>
      </c>
      <c r="P871" t="n">
        <v>0.007618</v>
      </c>
      <c r="Q871" t="n">
        <v>35</v>
      </c>
      <c r="R871" t="n">
        <v>0.05</v>
      </c>
      <c r="S871">
        <f>IMAGE("https://mitra.stanford.edu/kundaje/oak/projects/neuro-variants/variant_position/credible/roussos_2024/variant_figures/roussos_2024.infant.GLU/rs7973976_count_position.png",4,220,900)</f>
        <v/>
      </c>
      <c r="T871">
        <f>IMAGE("https://mitra.stanford.edu/kundaje/oak/projects/neuro-variants/variant_position/credible/roussos_2024/variant_figures/roussos_2024.infant.GLU/rs7973976_profile_position.png",4,220,900)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0.08494268520000001</v>
      </c>
      <c r="G872" t="n">
        <v>0.0738740784000791</v>
      </c>
      <c r="H872" t="n">
        <v>0.0505988509428722</v>
      </c>
      <c r="I872" t="n">
        <v>0.0072710105245147</v>
      </c>
      <c r="J872" t="n">
        <v>0.0322097047994884</v>
      </c>
      <c r="K872" t="n">
        <v>0.4395342701914737</v>
      </c>
      <c r="L872" t="b">
        <v>1</v>
      </c>
      <c r="M872" t="b">
        <v>0</v>
      </c>
      <c r="N872" t="inlineStr">
        <is>
          <t>alt</t>
        </is>
      </c>
      <c r="O872" t="n">
        <v>80</v>
      </c>
      <c r="P872" t="n">
        <v>0.003906</v>
      </c>
      <c r="Q872" t="n">
        <v>10</v>
      </c>
      <c r="R872" t="n">
        <v>0.01221</v>
      </c>
      <c r="S872">
        <f>IMAGE("https://mitra.stanford.edu/kundaje/oak/projects/neuro-variants/variant_position/credible/roussos_2024/variant_figures/roussos_2024.infant.GLU/rs7313402_count_position.png",4,220,900)</f>
        <v/>
      </c>
      <c r="T872">
        <f>IMAGE("https://mitra.stanford.edu/kundaje/oak/projects/neuro-variants/variant_position/credible/roussos_2024/variant_figures/roussos_2024.infant.GLU/rs7313402_profile_position.png",4,220,900)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-0.0088417637</v>
      </c>
      <c r="G873" t="n">
        <v>0.3962846077060941</v>
      </c>
      <c r="H873" t="n">
        <v>0.0135917234914219</v>
      </c>
      <c r="I873" t="n">
        <v>0.4488363620627267</v>
      </c>
      <c r="J873" t="n">
        <v>0.0431546109923057</v>
      </c>
      <c r="K873" t="n">
        <v>0.3849288287762829</v>
      </c>
      <c r="L873" t="b">
        <v>0</v>
      </c>
      <c r="M873" t="b">
        <v>0</v>
      </c>
      <c r="N873" t="inlineStr">
        <is>
          <t>ref</t>
        </is>
      </c>
      <c r="O873" t="n">
        <v>-35</v>
      </c>
      <c r="P873" t="n">
        <v>0.001625</v>
      </c>
      <c r="Q873" t="n">
        <v>-75</v>
      </c>
      <c r="R873" t="n">
        <v>0.0375</v>
      </c>
      <c r="S873">
        <f>IMAGE("https://mitra.stanford.edu/kundaje/oak/projects/neuro-variants/variant_position/credible/roussos_2024/variant_figures/roussos_2024.infant.GLU/rs10861879_count_position.png",4,220,900)</f>
        <v/>
      </c>
      <c r="T873">
        <f>IMAGE("https://mitra.stanford.edu/kundaje/oak/projects/neuro-variants/variant_position/credible/roussos_2024/variant_figures/roussos_2024.infant.GLU/rs10861879_profile_position.png",4,220,900)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0.0369655164</v>
      </c>
      <c r="G874" t="n">
        <v>0.2566462095689657</v>
      </c>
      <c r="H874" t="n">
        <v>0.0113043873748467</v>
      </c>
      <c r="I874" t="n">
        <v>0.6174248156132736</v>
      </c>
      <c r="J874" t="n">
        <v>0.0019985008487841</v>
      </c>
      <c r="K874" t="n">
        <v>0.8598904748732676</v>
      </c>
      <c r="L874" t="b">
        <v>0</v>
      </c>
      <c r="M874" t="b">
        <v>0</v>
      </c>
      <c r="N874" t="inlineStr">
        <is>
          <t>alt</t>
        </is>
      </c>
      <c r="O874" t="n">
        <v>5</v>
      </c>
      <c r="P874" t="n">
        <v>0.000736</v>
      </c>
      <c r="Q874" t="n">
        <v>-55</v>
      </c>
      <c r="R874" t="n">
        <v>0.00873</v>
      </c>
      <c r="S874">
        <f>IMAGE("https://mitra.stanford.edu/kundaje/oak/projects/neuro-variants/variant_position/credible/roussos_2024/variant_figures/roussos_2024.infant.GLU/rs4964661_count_position.png",4,220,900)</f>
        <v/>
      </c>
      <c r="T874">
        <f>IMAGE("https://mitra.stanford.edu/kundaje/oak/projects/neuro-variants/variant_position/credible/roussos_2024/variant_figures/roussos_2024.infant.GLU/rs4964661_profile_position.png",4,220,900)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-0.0091807295</v>
      </c>
      <c r="G875" t="n">
        <v>0.6763993946259822</v>
      </c>
      <c r="H875" t="n">
        <v>0.0082054316812251</v>
      </c>
      <c r="I875" t="n">
        <v>0.8806276448076609</v>
      </c>
      <c r="J875" t="n">
        <v>0.0383396900284397</v>
      </c>
      <c r="K875" t="n">
        <v>0.4074176651422704</v>
      </c>
      <c r="L875" t="b">
        <v>0</v>
      </c>
      <c r="M875" t="b">
        <v>0</v>
      </c>
      <c r="N875" t="inlineStr">
        <is>
          <t>ref</t>
        </is>
      </c>
      <c r="O875" t="n">
        <v>60</v>
      </c>
      <c r="P875" t="n">
        <v>0.005722</v>
      </c>
      <c r="Q875" t="n">
        <v>15</v>
      </c>
      <c r="R875" t="n">
        <v>0.06665</v>
      </c>
      <c r="S875">
        <f>IMAGE("https://mitra.stanford.edu/kundaje/oak/projects/neuro-variants/variant_position/credible/roussos_2024/variant_figures/roussos_2024.infant.GLU/rs3764002_count_position.png",4,220,900)</f>
        <v/>
      </c>
      <c r="T875">
        <f>IMAGE("https://mitra.stanford.edu/kundaje/oak/projects/neuro-variants/variant_position/credible/roussos_2024/variant_figures/roussos_2024.infant.GLU/rs3764002_profile_position.png",4,220,900)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0.0118809198199999</v>
      </c>
      <c r="G876" t="n">
        <v>0.5863768041222516</v>
      </c>
      <c r="H876" t="n">
        <v>0.0070694328566319</v>
      </c>
      <c r="I876" t="n">
        <v>0.9616426335056136</v>
      </c>
      <c r="J876" t="n">
        <v>0.008010538151193699</v>
      </c>
      <c r="K876" t="n">
        <v>0.6943464822342238</v>
      </c>
      <c r="L876" t="b">
        <v>0</v>
      </c>
      <c r="M876" t="b">
        <v>0</v>
      </c>
      <c r="N876" t="inlineStr">
        <is>
          <t>alt</t>
        </is>
      </c>
      <c r="O876" t="n">
        <v>-85</v>
      </c>
      <c r="P876" t="n">
        <v>0.1453</v>
      </c>
      <c r="Q876" t="n">
        <v>-100</v>
      </c>
      <c r="R876" t="n">
        <v>0.0791</v>
      </c>
      <c r="S876">
        <f>IMAGE("https://mitra.stanford.edu/kundaje/oak/projects/neuro-variants/variant_position/credible/roussos_2024/variant_figures/roussos_2024.infant.GLU/rs4964665_count_position.png",4,220,900)</f>
        <v/>
      </c>
      <c r="T876">
        <f>IMAGE("https://mitra.stanford.edu/kundaje/oak/projects/neuro-variants/variant_position/credible/roussos_2024/variant_figures/roussos_2024.infant.GLU/rs4964665_profile_position.png",4,220,900)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0.141826182</v>
      </c>
      <c r="G877" t="n">
        <v>0.0236117440474201</v>
      </c>
      <c r="H877" t="n">
        <v>0.0243391478914317</v>
      </c>
      <c r="I877" t="n">
        <v>0.1094369021191516</v>
      </c>
      <c r="J877" t="n">
        <v>0.009350955708900001</v>
      </c>
      <c r="K877" t="n">
        <v>0.6732624832179511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0.009445</v>
      </c>
      <c r="Q877" t="n">
        <v>60</v>
      </c>
      <c r="R877" t="n">
        <v>0.03864</v>
      </c>
      <c r="S877">
        <f>IMAGE("https://mitra.stanford.edu/kundaje/oak/projects/neuro-variants/variant_position/credible/roussos_2024/variant_figures/roussos_2024.infant.GLU/rs2559882_count_position.png",4,220,900)</f>
        <v/>
      </c>
      <c r="T877">
        <f>IMAGE("https://mitra.stanford.edu/kundaje/oak/projects/neuro-variants/variant_position/credible/roussos_2024/variant_figures/roussos_2024.infant.GLU/rs2559882_profile_position.png",4,220,900)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-0.214472452</v>
      </c>
      <c r="G878" t="n">
        <v>0.0083949737126867</v>
      </c>
      <c r="H878" t="n">
        <v>0.0279852702511217</v>
      </c>
      <c r="I878" t="n">
        <v>0.0764293599802529</v>
      </c>
      <c r="J878" t="n">
        <v>0.1140335986243082</v>
      </c>
      <c r="K878" t="n">
        <v>0.1897527157302392</v>
      </c>
      <c r="L878" t="b">
        <v>1</v>
      </c>
      <c r="M878" t="b">
        <v>1</v>
      </c>
      <c r="N878" t="inlineStr">
        <is>
          <t>ref</t>
        </is>
      </c>
      <c r="O878" t="n">
        <v>100</v>
      </c>
      <c r="P878" t="n">
        <v>0.005913</v>
      </c>
      <c r="Q878" t="n">
        <v>20</v>
      </c>
      <c r="R878" t="n">
        <v>0.04675</v>
      </c>
      <c r="S878">
        <f>IMAGE("https://mitra.stanford.edu/kundaje/oak/projects/neuro-variants/variant_position/credible/roussos_2024/variant_figures/roussos_2024.infant.GLU/rs2559875_count_position.png",4,220,900)</f>
        <v/>
      </c>
      <c r="T878">
        <f>IMAGE("https://mitra.stanford.edu/kundaje/oak/projects/neuro-variants/variant_position/credible/roussos_2024/variant_figures/roussos_2024.infant.GLU/rs2559875_profile_position.png",4,220,900)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-0.27565771</v>
      </c>
      <c r="G879" t="n">
        <v>0.0039355196361154</v>
      </c>
      <c r="H879" t="n">
        <v>0.0530397992650129</v>
      </c>
      <c r="I879" t="n">
        <v>0.0057574250558926</v>
      </c>
      <c r="J879" t="n">
        <v>0.4078958971758636</v>
      </c>
      <c r="K879" t="n">
        <v>0.0437716320895553</v>
      </c>
      <c r="L879" t="b">
        <v>1</v>
      </c>
      <c r="M879" t="b">
        <v>1</v>
      </c>
      <c r="N879" t="inlineStr">
        <is>
          <t>ref</t>
        </is>
      </c>
      <c r="O879" t="n">
        <v>60</v>
      </c>
      <c r="P879" t="n">
        <v>0.01172</v>
      </c>
      <c r="Q879" t="n">
        <v>85</v>
      </c>
      <c r="R879" t="n">
        <v>0.09279999999999999</v>
      </c>
      <c r="S879">
        <f>IMAGE("https://mitra.stanford.edu/kundaje/oak/projects/neuro-variants/variant_position/credible/roussos_2024/variant_figures/roussos_2024.infant.GLU/rs75306978_count_position.png",4,220,900)</f>
        <v/>
      </c>
      <c r="T879">
        <f>IMAGE("https://mitra.stanford.edu/kundaje/oak/projects/neuro-variants/variant_position/credible/roussos_2024/variant_figures/roussos_2024.infant.GLU/rs75306978_profile_position.png",4,220,900)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-0.032894957816</v>
      </c>
      <c r="G880" t="n">
        <v>0.3108230634355198</v>
      </c>
      <c r="H880" t="n">
        <v>0.0167780326716536</v>
      </c>
      <c r="I880" t="n">
        <v>0.2816699304403049</v>
      </c>
      <c r="J880" t="n">
        <v>0.0881015895412155</v>
      </c>
      <c r="K880" t="n">
        <v>0.2463977259613232</v>
      </c>
      <c r="L880" t="b">
        <v>0</v>
      </c>
      <c r="M880" t="b">
        <v>0</v>
      </c>
      <c r="N880" t="inlineStr">
        <is>
          <t>ref</t>
        </is>
      </c>
      <c r="O880" t="n">
        <v>-95</v>
      </c>
      <c r="P880" t="n">
        <v>0.009979999999999999</v>
      </c>
      <c r="Q880" t="n">
        <v>70</v>
      </c>
      <c r="R880" t="n">
        <v>0.03162</v>
      </c>
      <c r="S880">
        <f>IMAGE("https://mitra.stanford.edu/kundaje/oak/projects/neuro-variants/variant_position/credible/roussos_2024/variant_figures/roussos_2024.infant.GLU/rs79715421_count_position.png",4,220,900)</f>
        <v/>
      </c>
      <c r="T880">
        <f>IMAGE("https://mitra.stanford.edu/kundaje/oak/projects/neuro-variants/variant_position/credible/roussos_2024/variant_figures/roussos_2024.infant.GLU/rs79715421_profile_position.png",4,220,900)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0.009734539699999999</v>
      </c>
      <c r="G881" t="n">
        <v>0.6317720110654392</v>
      </c>
      <c r="H881" t="n">
        <v>0.007941367904271799</v>
      </c>
      <c r="I881" t="n">
        <v>0.9069909743259934</v>
      </c>
      <c r="J881" t="n">
        <v>0.0133898454551466</v>
      </c>
      <c r="K881" t="n">
        <v>0.6126765000346879</v>
      </c>
      <c r="L881" t="b">
        <v>0</v>
      </c>
      <c r="M881" t="b">
        <v>0</v>
      </c>
      <c r="N881" t="inlineStr">
        <is>
          <t>alt</t>
        </is>
      </c>
      <c r="O881" t="n">
        <v>35</v>
      </c>
      <c r="P881" t="n">
        <v>0.03528</v>
      </c>
      <c r="Q881" t="n">
        <v>30</v>
      </c>
      <c r="R881" t="n">
        <v>0.0605</v>
      </c>
      <c r="S881">
        <f>IMAGE("https://mitra.stanford.edu/kundaje/oak/projects/neuro-variants/variant_position/credible/roussos_2024/variant_figures/roussos_2024.infant.GLU/rs67917264_count_position.png",4,220,900)</f>
        <v/>
      </c>
      <c r="T881">
        <f>IMAGE("https://mitra.stanford.edu/kundaje/oak/projects/neuro-variants/variant_position/credible/roussos_2024/variant_figures/roussos_2024.infant.GLU/rs67917264_profile_position.png",4,220,900)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-0.0519113036</v>
      </c>
      <c r="G882" t="n">
        <v>0.1621144401569886</v>
      </c>
      <c r="H882" t="n">
        <v>0.008561654152828301</v>
      </c>
      <c r="I882" t="n">
        <v>0.8657380202135975</v>
      </c>
      <c r="J882" t="n">
        <v>0.359540554245023</v>
      </c>
      <c r="K882" t="n">
        <v>0.0538798469607864</v>
      </c>
      <c r="L882" t="b">
        <v>0</v>
      </c>
      <c r="M882" t="b">
        <v>0</v>
      </c>
      <c r="N882" t="inlineStr">
        <is>
          <t>ref</t>
        </is>
      </c>
      <c r="O882" t="n">
        <v>-90</v>
      </c>
      <c r="P882" t="n">
        <v>0.4429</v>
      </c>
      <c r="Q882" t="n">
        <v>-100</v>
      </c>
      <c r="R882" t="n">
        <v>0.1497</v>
      </c>
      <c r="S882">
        <f>IMAGE("https://mitra.stanford.edu/kundaje/oak/projects/neuro-variants/variant_position/credible/roussos_2024/variant_figures/roussos_2024.infant.GLU/rs3759384_count_position.png",4,220,900)</f>
        <v/>
      </c>
      <c r="T882">
        <f>IMAGE("https://mitra.stanford.edu/kundaje/oak/projects/neuro-variants/variant_position/credible/roussos_2024/variant_figures/roussos_2024.infant.GLU/rs3759384_profile_position.png",4,220,900)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0.0060574054</v>
      </c>
      <c r="G883" t="n">
        <v>0.421461443477211</v>
      </c>
      <c r="H883" t="n">
        <v>0.0098040562676396</v>
      </c>
      <c r="I883" t="n">
        <v>0.7459755140362335</v>
      </c>
      <c r="J883" t="n">
        <v>0.0691296104411472</v>
      </c>
      <c r="K883" t="n">
        <v>0.2745125548421084</v>
      </c>
      <c r="L883" t="b">
        <v>0</v>
      </c>
      <c r="M883" t="b">
        <v>0</v>
      </c>
      <c r="N883" t="inlineStr">
        <is>
          <t>alt</t>
        </is>
      </c>
      <c r="O883" t="n">
        <v>-40</v>
      </c>
      <c r="P883" t="n">
        <v>0.0194</v>
      </c>
      <c r="Q883" t="n">
        <v>5</v>
      </c>
      <c r="R883" t="n">
        <v>0.008789999999999999</v>
      </c>
      <c r="S883">
        <f>IMAGE("https://mitra.stanford.edu/kundaje/oak/projects/neuro-variants/variant_position/credible/roussos_2024/variant_figures/roussos_2024.infant.GLU/rs11065647_count_position.png",4,220,900)</f>
        <v/>
      </c>
      <c r="T883">
        <f>IMAGE("https://mitra.stanford.edu/kundaje/oak/projects/neuro-variants/variant_position/credible/roussos_2024/variant_figures/roussos_2024.infant.GLU/rs11065647_profile_position.png",4,220,900)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0.0509964793999999</v>
      </c>
      <c r="G884" t="n">
        <v>0.171234379554582</v>
      </c>
      <c r="H884" t="n">
        <v>0.009568218911097199</v>
      </c>
      <c r="I884" t="n">
        <v>0.7447754987454487</v>
      </c>
      <c r="J884" t="n">
        <v>0.0380552922242553</v>
      </c>
      <c r="K884" t="n">
        <v>0.4038285695759135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0.0732</v>
      </c>
      <c r="Q884" t="n">
        <v>25</v>
      </c>
      <c r="R884" t="n">
        <v>0.03406</v>
      </c>
      <c r="S884">
        <f>IMAGE("https://mitra.stanford.edu/kundaje/oak/projects/neuro-variants/variant_position/credible/roussos_2024/variant_figures/roussos_2024.infant.GLU/rs184629901_count_position.png",4,220,900)</f>
        <v/>
      </c>
      <c r="T884">
        <f>IMAGE("https://mitra.stanford.edu/kundaje/oak/projects/neuro-variants/variant_position/credible/roussos_2024/variant_figures/roussos_2024.infant.GLU/rs184629901_profile_position.png",4,220,900)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-0.1860858</v>
      </c>
      <c r="G885" t="n">
        <v>0.0120577576723748</v>
      </c>
      <c r="H885" t="n">
        <v>0.0296591454151406</v>
      </c>
      <c r="I885" t="n">
        <v>0.060271322644441</v>
      </c>
      <c r="J885" t="n">
        <v>0.0284254502965232</v>
      </c>
      <c r="K885" t="n">
        <v>0.4739369106950649</v>
      </c>
      <c r="L885" t="b">
        <v>1</v>
      </c>
      <c r="M885" t="b">
        <v>0</v>
      </c>
      <c r="N885" t="inlineStr">
        <is>
          <t>ref</t>
        </is>
      </c>
      <c r="O885" t="n">
        <v>45</v>
      </c>
      <c r="P885" t="n">
        <v>0.02406</v>
      </c>
      <c r="Q885" t="n">
        <v>-55</v>
      </c>
      <c r="R885" t="n">
        <v>0.02625</v>
      </c>
      <c r="S885">
        <f>IMAGE("https://mitra.stanford.edu/kundaje/oak/projects/neuro-variants/variant_position/credible/roussos_2024/variant_figures/roussos_2024.infant.GLU/rs4766497_count_position.png",4,220,900)</f>
        <v/>
      </c>
      <c r="T885">
        <f>IMAGE("https://mitra.stanford.edu/kundaje/oak/projects/neuro-variants/variant_position/credible/roussos_2024/variant_figures/roussos_2024.infant.GLU/rs4766497_profile_position.png",4,220,900)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0.07067145499999999</v>
      </c>
      <c r="G886" t="n">
        <v>0.0972478503010918</v>
      </c>
      <c r="H886" t="n">
        <v>0.0155860746098558</v>
      </c>
      <c r="I886" t="n">
        <v>0.3345005253641982</v>
      </c>
      <c r="J886" t="n">
        <v>0.1810269185828611</v>
      </c>
      <c r="K886" t="n">
        <v>0.1234691900344808</v>
      </c>
      <c r="L886" t="b">
        <v>0</v>
      </c>
      <c r="M886" t="b">
        <v>0</v>
      </c>
      <c r="N886" t="inlineStr">
        <is>
          <t>alt</t>
        </is>
      </c>
      <c r="O886" t="n">
        <v>-85</v>
      </c>
      <c r="P886" t="n">
        <v>0.1321</v>
      </c>
      <c r="Q886" t="n">
        <v>-15</v>
      </c>
      <c r="R886" t="n">
        <v>0.0293</v>
      </c>
      <c r="S886">
        <f>IMAGE("https://mitra.stanford.edu/kundaje/oak/projects/neuro-variants/variant_position/credible/roussos_2024/variant_figures/roussos_2024.infant.GLU/rs12311093_count_position.png",4,220,900)</f>
        <v/>
      </c>
      <c r="T886">
        <f>IMAGE("https://mitra.stanford.edu/kundaje/oak/projects/neuro-variants/variant_position/credible/roussos_2024/variant_figures/roussos_2024.infant.GLU/rs12311093_profile_position.png",4,220,900)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-0.0257627069999999</v>
      </c>
      <c r="G887" t="n">
        <v>0.3683505435175652</v>
      </c>
      <c r="H887" t="n">
        <v>0.0610019788710797</v>
      </c>
      <c r="I887" t="n">
        <v>0.0028359765383285</v>
      </c>
      <c r="J887" t="n">
        <v>0.0434853061134504</v>
      </c>
      <c r="K887" t="n">
        <v>0.3884167335250586</v>
      </c>
      <c r="L887" t="b">
        <v>1</v>
      </c>
      <c r="M887" t="b">
        <v>0</v>
      </c>
      <c r="N887" t="inlineStr">
        <is>
          <t>ref</t>
        </is>
      </c>
      <c r="O887" t="n">
        <v>-80</v>
      </c>
      <c r="P887" t="n">
        <v>0.00647</v>
      </c>
      <c r="Q887" t="n">
        <v>-20</v>
      </c>
      <c r="R887" t="n">
        <v>0.014946</v>
      </c>
      <c r="S887">
        <f>IMAGE("https://mitra.stanford.edu/kundaje/oak/projects/neuro-variants/variant_position/credible/roussos_2024/variant_figures/roussos_2024.infant.GLU/rs12228118_count_position.png",4,220,900)</f>
        <v/>
      </c>
      <c r="T887">
        <f>IMAGE("https://mitra.stanford.edu/kundaje/oak/projects/neuro-variants/variant_position/credible/roussos_2024/variant_figures/roussos_2024.infant.GLU/rs12228118_profile_position.png",4,220,900)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-0.0348907768999999</v>
      </c>
      <c r="G888" t="n">
        <v>0.2995511360942161</v>
      </c>
      <c r="H888" t="n">
        <v>0.009074355119545499</v>
      </c>
      <c r="I888" t="n">
        <v>0.7824846187644431</v>
      </c>
      <c r="J888" t="n">
        <v>0.0909069864855926</v>
      </c>
      <c r="K888" t="n">
        <v>0.2293339021727421</v>
      </c>
      <c r="L888" t="b">
        <v>0</v>
      </c>
      <c r="M888" t="b">
        <v>0</v>
      </c>
      <c r="N888" t="inlineStr">
        <is>
          <t>ref</t>
        </is>
      </c>
      <c r="O888" t="n">
        <v>-50</v>
      </c>
      <c r="P888" t="n">
        <v>0.0852</v>
      </c>
      <c r="Q888" t="n">
        <v>100</v>
      </c>
      <c r="R888" t="n">
        <v>0.1283</v>
      </c>
      <c r="S888">
        <f>IMAGE("https://mitra.stanford.edu/kundaje/oak/projects/neuro-variants/variant_position/credible/roussos_2024/variant_figures/roussos_2024.infant.GLU/rs78197988_count_position.png",4,220,900)</f>
        <v/>
      </c>
      <c r="T888">
        <f>IMAGE("https://mitra.stanford.edu/kundaje/oak/projects/neuro-variants/variant_position/credible/roussos_2024/variant_figures/roussos_2024.infant.GLU/rs78197988_profile_position.png",4,220,900)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0.0596972695999999</v>
      </c>
      <c r="G889" t="n">
        <v>0.1247420592852173</v>
      </c>
      <c r="H889" t="n">
        <v>0.086313507684388</v>
      </c>
      <c r="I889" t="n">
        <v>0.00041823435188</v>
      </c>
      <c r="J889" t="n">
        <v>0.0325900041888048</v>
      </c>
      <c r="K889" t="n">
        <v>0.450269185557352</v>
      </c>
      <c r="L889" t="b">
        <v>1</v>
      </c>
      <c r="M889" t="b">
        <v>0</v>
      </c>
      <c r="N889" t="inlineStr">
        <is>
          <t>alt</t>
        </is>
      </c>
      <c r="O889" t="n">
        <v>100</v>
      </c>
      <c r="P889" t="n">
        <v>0.1719</v>
      </c>
      <c r="Q889" t="n">
        <v>100</v>
      </c>
      <c r="R889" t="n">
        <v>0.1189</v>
      </c>
      <c r="S889">
        <f>IMAGE("https://mitra.stanford.edu/kundaje/oak/projects/neuro-variants/variant_position/credible/roussos_2024/variant_figures/roussos_2024.infant.GLU/rs2243616_count_position.png",4,220,900)</f>
        <v/>
      </c>
      <c r="T889">
        <f>IMAGE("https://mitra.stanford.edu/kundaje/oak/projects/neuro-variants/variant_position/credible/roussos_2024/variant_figures/roussos_2024.infant.GLU/rs2243616_profile_position.png",4,220,900)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-0.0192045159999999</v>
      </c>
      <c r="G890" t="n">
        <v>0.4620863429918205</v>
      </c>
      <c r="H890" t="n">
        <v>0.0373651500502704</v>
      </c>
      <c r="I890" t="n">
        <v>0.0264723271334919</v>
      </c>
      <c r="J890" t="n">
        <v>0.0725875790912497</v>
      </c>
      <c r="K890" t="n">
        <v>0.2805706474659659</v>
      </c>
      <c r="L890" t="b">
        <v>0</v>
      </c>
      <c r="M890" t="b">
        <v>0</v>
      </c>
      <c r="N890" t="inlineStr">
        <is>
          <t>ref</t>
        </is>
      </c>
      <c r="O890" t="n">
        <v>-65</v>
      </c>
      <c r="P890" t="n">
        <v>0.251</v>
      </c>
      <c r="Q890" t="n">
        <v>-95</v>
      </c>
      <c r="R890" t="n">
        <v>0.08276</v>
      </c>
      <c r="S890">
        <f>IMAGE("https://mitra.stanford.edu/kundaje/oak/projects/neuro-variants/variant_position/credible/roussos_2024/variant_figures/roussos_2024.infant.GLU/rs1169314_count_position.png",4,220,900)</f>
        <v/>
      </c>
      <c r="T890">
        <f>IMAGE("https://mitra.stanford.edu/kundaje/oak/projects/neuro-variants/variant_position/credible/roussos_2024/variant_figures/roussos_2024.infant.GLU/rs1169314_profile_position.png",4,220,900)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-0.07317797594</v>
      </c>
      <c r="G891" t="n">
        <v>0.1242816109269629</v>
      </c>
      <c r="H891" t="n">
        <v>0.0138457468037114</v>
      </c>
      <c r="I891" t="n">
        <v>0.4297949524158451</v>
      </c>
      <c r="J891" t="n">
        <v>0.0127857757005224</v>
      </c>
      <c r="K891" t="n">
        <v>0.6268698054446877</v>
      </c>
      <c r="L891" t="b">
        <v>0</v>
      </c>
      <c r="M891" t="b">
        <v>0</v>
      </c>
      <c r="N891" t="inlineStr">
        <is>
          <t>ref</t>
        </is>
      </c>
      <c r="O891" t="n">
        <v>-65</v>
      </c>
      <c r="P891" t="n">
        <v>0.002317</v>
      </c>
      <c r="Q891" t="n">
        <v>-85</v>
      </c>
      <c r="R891" t="n">
        <v>0.04037</v>
      </c>
      <c r="S891">
        <f>IMAGE("https://mitra.stanford.edu/kundaje/oak/projects/neuro-variants/variant_position/credible/roussos_2024/variant_figures/roussos_2024.infant.GLU/rs2264750_count_position.png",4,220,900)</f>
        <v/>
      </c>
      <c r="T891">
        <f>IMAGE("https://mitra.stanford.edu/kundaje/oak/projects/neuro-variants/variant_position/credible/roussos_2024/variant_figures/roussos_2024.infant.GLU/rs2264750_profile_position.png",4,220,900)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0.0574024825999999</v>
      </c>
      <c r="G892" t="n">
        <v>0.1297550861786417</v>
      </c>
      <c r="H892" t="n">
        <v>0.0109219424974037</v>
      </c>
      <c r="I892" t="n">
        <v>0.6474085325797009</v>
      </c>
      <c r="J892" t="n">
        <v>0.1488094975638792</v>
      </c>
      <c r="K892" t="n">
        <v>0.1554161713456275</v>
      </c>
      <c r="L892" t="b">
        <v>0</v>
      </c>
      <c r="M892" t="b">
        <v>0</v>
      </c>
      <c r="N892" t="inlineStr">
        <is>
          <t>alt</t>
        </is>
      </c>
      <c r="O892" t="n">
        <v>-70</v>
      </c>
      <c r="P892" t="n">
        <v>0.00932</v>
      </c>
      <c r="Q892" t="n">
        <v>100</v>
      </c>
      <c r="R892" t="n">
        <v>0.1664</v>
      </c>
      <c r="S892">
        <f>IMAGE("https://mitra.stanford.edu/kundaje/oak/projects/neuro-variants/variant_position/credible/roussos_2024/variant_figures/roussos_2024.infant.GLU/rs2686345_count_position.png",4,220,900)</f>
        <v/>
      </c>
      <c r="T892">
        <f>IMAGE("https://mitra.stanford.edu/kundaje/oak/projects/neuro-variants/variant_position/credible/roussos_2024/variant_figures/roussos_2024.infant.GLU/rs2686345_profile_position.png",4,220,900)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-0.0726865018</v>
      </c>
      <c r="G893" t="n">
        <v>0.09729745021946699</v>
      </c>
      <c r="H893" t="n">
        <v>0.0121405240368634</v>
      </c>
      <c r="I893" t="n">
        <v>0.5491939436389295</v>
      </c>
      <c r="J893" t="n">
        <v>0.0104565797305936</v>
      </c>
      <c r="K893" t="n">
        <v>0.6501013293805776</v>
      </c>
      <c r="L893" t="b">
        <v>0</v>
      </c>
      <c r="M893" t="b">
        <v>0</v>
      </c>
      <c r="N893" t="inlineStr">
        <is>
          <t>ref</t>
        </is>
      </c>
      <c r="O893" t="n">
        <v>-100</v>
      </c>
      <c r="P893" t="n">
        <v>0.0848</v>
      </c>
      <c r="Q893" t="n">
        <v>-100</v>
      </c>
      <c r="R893" t="n">
        <v>0.2002</v>
      </c>
      <c r="S893">
        <f>IMAGE("https://mitra.stanford.edu/kundaje/oak/projects/neuro-variants/variant_position/credible/roussos_2024/variant_figures/roussos_2024.infant.GLU/rs76170072_count_position.png",4,220,900)</f>
        <v/>
      </c>
      <c r="T893">
        <f>IMAGE("https://mitra.stanford.edu/kundaje/oak/projects/neuro-variants/variant_position/credible/roussos_2024/variant_figures/roussos_2024.infant.GLU/rs76170072_profile_position.png",4,220,900)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0.0538547368</v>
      </c>
      <c r="G894" t="n">
        <v>0.1463508178730055</v>
      </c>
      <c r="H894" t="n">
        <v>0.0120662109151</v>
      </c>
      <c r="I894" t="n">
        <v>0.5528317036802709</v>
      </c>
      <c r="J894" t="n">
        <v>0.008107542053396101</v>
      </c>
      <c r="K894" t="n">
        <v>0.6980738757514086</v>
      </c>
      <c r="L894" t="b">
        <v>0</v>
      </c>
      <c r="M894" t="b">
        <v>0</v>
      </c>
      <c r="N894" t="inlineStr">
        <is>
          <t>alt</t>
        </is>
      </c>
      <c r="O894" t="n">
        <v>30</v>
      </c>
      <c r="P894" t="n">
        <v>0.0327</v>
      </c>
      <c r="Q894" t="n">
        <v>15</v>
      </c>
      <c r="R894" t="n">
        <v>0.01526</v>
      </c>
      <c r="S894">
        <f>IMAGE("https://mitra.stanford.edu/kundaje/oak/projects/neuro-variants/variant_position/credible/roussos_2024/variant_figures/roussos_2024.infant.GLU/rs61697335_count_position.png",4,220,900)</f>
        <v/>
      </c>
      <c r="T894">
        <f>IMAGE("https://mitra.stanford.edu/kundaje/oak/projects/neuro-variants/variant_position/credible/roussos_2024/variant_figures/roussos_2024.infant.GLU/rs61697335_profile_position.png",4,220,900)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0.0006479551199999</v>
      </c>
      <c r="G895" t="n">
        <v>0.6704139292495196</v>
      </c>
      <c r="H895" t="n">
        <v>0.0401899219025955</v>
      </c>
      <c r="I895" t="n">
        <v>0.0200374479629779</v>
      </c>
      <c r="J895" t="n">
        <v>0.2187823805639453</v>
      </c>
      <c r="K895" t="n">
        <v>0.0979965811192564</v>
      </c>
      <c r="L895" t="b">
        <v>0</v>
      </c>
      <c r="M895" t="b">
        <v>0</v>
      </c>
      <c r="N895" t="inlineStr">
        <is>
          <t>alt</t>
        </is>
      </c>
      <c r="O895" t="n">
        <v>100</v>
      </c>
      <c r="P895" t="n">
        <v>0.005615</v>
      </c>
      <c r="Q895" t="n">
        <v>45</v>
      </c>
      <c r="R895" t="n">
        <v>0.1212</v>
      </c>
      <c r="S895">
        <f>IMAGE("https://mitra.stanford.edu/kundaje/oak/projects/neuro-variants/variant_position/credible/roussos_2024/variant_figures/roussos_2024.infant.GLU/rs11830307_count_position.png",4,220,900)</f>
        <v/>
      </c>
      <c r="T895">
        <f>IMAGE("https://mitra.stanford.edu/kundaje/oak/projects/neuro-variants/variant_position/credible/roussos_2024/variant_figures/roussos_2024.infant.GLU/rs11830307_profile_position.png",4,220,900)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0.0141227119999999</v>
      </c>
      <c r="G896" t="n">
        <v>0.5328503226469243</v>
      </c>
      <c r="H896" t="n">
        <v>0.0112072512312564</v>
      </c>
      <c r="I896" t="n">
        <v>0.6256491333641141</v>
      </c>
      <c r="J896" t="n">
        <v>0.0541921118190435</v>
      </c>
      <c r="K896" t="n">
        <v>0.3238028018544714</v>
      </c>
      <c r="L896" t="b">
        <v>0</v>
      </c>
      <c r="M896" t="b">
        <v>0</v>
      </c>
      <c r="N896" t="inlineStr">
        <is>
          <t>alt</t>
        </is>
      </c>
      <c r="O896" t="n">
        <v>70</v>
      </c>
      <c r="P896" t="n">
        <v>0.01855</v>
      </c>
      <c r="Q896" t="n">
        <v>100</v>
      </c>
      <c r="R896" t="n">
        <v>0.06082</v>
      </c>
      <c r="S896">
        <f>IMAGE("https://mitra.stanford.edu/kundaje/oak/projects/neuro-variants/variant_position/credible/roussos_2024/variant_figures/roussos_2024.infant.GLU/rs59199848_count_position.png",4,220,900)</f>
        <v/>
      </c>
      <c r="T896">
        <f>IMAGE("https://mitra.stanford.edu/kundaje/oak/projects/neuro-variants/variant_position/credible/roussos_2024/variant_figures/roussos_2024.infant.GLU/rs59199848_profile_position.png",4,220,900)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0.0036424501399999</v>
      </c>
      <c r="G897" t="n">
        <v>0.674462439014236</v>
      </c>
      <c r="H897" t="n">
        <v>0.0070099152516241</v>
      </c>
      <c r="I897" t="n">
        <v>0.9428772182510332</v>
      </c>
      <c r="J897" t="n">
        <v>0.07859961639365939</v>
      </c>
      <c r="K897" t="n">
        <v>0.2529445419936055</v>
      </c>
      <c r="L897" t="b">
        <v>0</v>
      </c>
      <c r="M897" t="b">
        <v>0</v>
      </c>
      <c r="N897" t="inlineStr">
        <is>
          <t>alt</t>
        </is>
      </c>
      <c r="O897" t="n">
        <v>90</v>
      </c>
      <c r="P897" t="n">
        <v>0.0259</v>
      </c>
      <c r="Q897" t="n">
        <v>80</v>
      </c>
      <c r="R897" t="n">
        <v>0.049</v>
      </c>
      <c r="S897">
        <f>IMAGE("https://mitra.stanford.edu/kundaje/oak/projects/neuro-variants/variant_position/credible/roussos_2024/variant_figures/roussos_2024.infant.GLU/rs3751135_count_position.png",4,220,900)</f>
        <v/>
      </c>
      <c r="T897">
        <f>IMAGE("https://mitra.stanford.edu/kundaje/oak/projects/neuro-variants/variant_position/credible/roussos_2024/variant_figures/roussos_2024.infant.GLU/rs3751135_profile_position.png",4,220,900)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0.07545476499999999</v>
      </c>
      <c r="G898" t="n">
        <v>0.0939540535280238</v>
      </c>
      <c r="H898" t="n">
        <v>0.0131569573353963</v>
      </c>
      <c r="I898" t="n">
        <v>0.4772054544498024</v>
      </c>
      <c r="J898" t="n">
        <v>0.032332061994312</v>
      </c>
      <c r="K898" t="n">
        <v>0.436306682817473</v>
      </c>
      <c r="L898" t="b">
        <v>0</v>
      </c>
      <c r="M898" t="b">
        <v>0</v>
      </c>
      <c r="N898" t="inlineStr">
        <is>
          <t>alt</t>
        </is>
      </c>
      <c r="O898" t="n">
        <v>90</v>
      </c>
      <c r="P898" t="n">
        <v>0.00511</v>
      </c>
      <c r="Q898" t="n">
        <v>55</v>
      </c>
      <c r="R898" t="n">
        <v>0.09656000000000001</v>
      </c>
      <c r="S898">
        <f>IMAGE("https://mitra.stanford.edu/kundaje/oak/projects/neuro-variants/variant_position/credible/roussos_2024/variant_figures/roussos_2024.infant.GLU/rs79741351_count_position.png",4,220,900)</f>
        <v/>
      </c>
      <c r="T898">
        <f>IMAGE("https://mitra.stanford.edu/kundaje/oak/projects/neuro-variants/variant_position/credible/roussos_2024/variant_figures/roussos_2024.infant.GLU/rs79741351_profile_position.png",4,220,900)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-0.0780248286</v>
      </c>
      <c r="G899" t="n">
        <v>0.0863229825899158</v>
      </c>
      <c r="H899" t="n">
        <v>0.0238769909179289</v>
      </c>
      <c r="I899" t="n">
        <v>0.1175524545480857</v>
      </c>
      <c r="J899" t="n">
        <v>0.3643819308185806</v>
      </c>
      <c r="K899" t="n">
        <v>0.0522245009698599</v>
      </c>
      <c r="L899" t="b">
        <v>0</v>
      </c>
      <c r="M899" t="b">
        <v>0</v>
      </c>
      <c r="N899" t="inlineStr">
        <is>
          <t>ref</t>
        </is>
      </c>
      <c r="O899" t="n">
        <v>80</v>
      </c>
      <c r="P899" t="n">
        <v>0.00403</v>
      </c>
      <c r="Q899" t="n">
        <v>-10</v>
      </c>
      <c r="R899" t="n">
        <v>0.004883</v>
      </c>
      <c r="S899">
        <f>IMAGE("https://mitra.stanford.edu/kundaje/oak/projects/neuro-variants/variant_position/credible/roussos_2024/variant_figures/roussos_2024.infant.GLU/rs13754_count_position.png",4,220,900)</f>
        <v/>
      </c>
      <c r="T899">
        <f>IMAGE("https://mitra.stanford.edu/kundaje/oak/projects/neuro-variants/variant_position/credible/roussos_2024/variant_figures/roussos_2024.infant.GLU/rs13754_profile_position.png",4,220,900)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-0.0311349906</v>
      </c>
      <c r="G900" t="n">
        <v>0.3144807359973613</v>
      </c>
      <c r="H900" t="n">
        <v>0.0132833404083388</v>
      </c>
      <c r="I900" t="n">
        <v>0.4609146476356133</v>
      </c>
      <c r="J900" t="n">
        <v>0.0325161489450825</v>
      </c>
      <c r="K900" t="n">
        <v>0.4374224270874314</v>
      </c>
      <c r="L900" t="b">
        <v>0</v>
      </c>
      <c r="M900" t="b">
        <v>0</v>
      </c>
      <c r="N900" t="inlineStr">
        <is>
          <t>ref</t>
        </is>
      </c>
      <c r="O900" t="n">
        <v>5</v>
      </c>
      <c r="P900" t="n">
        <v>0.001343</v>
      </c>
      <c r="Q900" t="n">
        <v>55</v>
      </c>
      <c r="R900" t="n">
        <v>0.02545</v>
      </c>
      <c r="S900">
        <f>IMAGE("https://mitra.stanford.edu/kundaje/oak/projects/neuro-variants/variant_position/credible/roussos_2024/variant_figures/roussos_2024.infant.GLU/rs111782135_count_position.png",4,220,900)</f>
        <v/>
      </c>
      <c r="T900">
        <f>IMAGE("https://mitra.stanford.edu/kundaje/oak/projects/neuro-variants/variant_position/credible/roussos_2024/variant_figures/roussos_2024.infant.GLU/rs111782135_profile_position.png",4,220,900)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0.02619933726</v>
      </c>
      <c r="G901" t="n">
        <v>0.3737487939377628</v>
      </c>
      <c r="H901" t="n">
        <v>0.009744918155387699</v>
      </c>
      <c r="I901" t="n">
        <v>0.7441664403463484</v>
      </c>
      <c r="J901" t="n">
        <v>0.164049031063295</v>
      </c>
      <c r="K901" t="n">
        <v>0.1343750903479131</v>
      </c>
      <c r="L901" t="b">
        <v>0</v>
      </c>
      <c r="M901" t="b">
        <v>0</v>
      </c>
      <c r="N901" t="inlineStr">
        <is>
          <t>alt</t>
        </is>
      </c>
      <c r="O901" t="n">
        <v>100</v>
      </c>
      <c r="P901" t="n">
        <v>0.01968</v>
      </c>
      <c r="Q901" t="n">
        <v>65</v>
      </c>
      <c r="R901" t="n">
        <v>0.2135</v>
      </c>
      <c r="S901">
        <f>IMAGE("https://mitra.stanford.edu/kundaje/oak/projects/neuro-variants/variant_position/credible/roussos_2024/variant_figures/roussos_2024.infant.GLU/rs74543852_count_position.png",4,220,900)</f>
        <v/>
      </c>
      <c r="T901">
        <f>IMAGE("https://mitra.stanford.edu/kundaje/oak/projects/neuro-variants/variant_position/credible/roussos_2024/variant_figures/roussos_2024.infant.GLU/rs74543852_profile_position.png",4,220,900)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-0.00010024648</v>
      </c>
      <c r="G902" t="n">
        <v>0.7541747514621483</v>
      </c>
      <c r="H902" t="n">
        <v>0.0091228811390568</v>
      </c>
      <c r="I902" t="n">
        <v>0.8228670671919722</v>
      </c>
      <c r="J902" t="n">
        <v>0.016426728984325</v>
      </c>
      <c r="K902" t="n">
        <v>0.5744323640652239</v>
      </c>
      <c r="L902" t="b">
        <v>0</v>
      </c>
      <c r="M902" t="b">
        <v>0</v>
      </c>
      <c r="N902" t="inlineStr">
        <is>
          <t>ref</t>
        </is>
      </c>
      <c r="O902" t="n">
        <v>95</v>
      </c>
      <c r="P902" t="n">
        <v>0.10486</v>
      </c>
      <c r="Q902" t="n">
        <v>55</v>
      </c>
      <c r="R902" t="n">
        <v>0.02853</v>
      </c>
      <c r="S902">
        <f>IMAGE("https://mitra.stanford.edu/kundaje/oak/projects/neuro-variants/variant_position/credible/roussos_2024/variant_figures/roussos_2024.infant.GLU/rs34974633_count_position.png",4,220,900)</f>
        <v/>
      </c>
      <c r="T902">
        <f>IMAGE("https://mitra.stanford.edu/kundaje/oak/projects/neuro-variants/variant_position/credible/roussos_2024/variant_figures/roussos_2024.infant.GLU/rs34974633_profile_position.png",4,220,900)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0.00931077751</v>
      </c>
      <c r="G903" t="n">
        <v>0.6363198853494316</v>
      </c>
      <c r="H903" t="n">
        <v>0.0313285433270572</v>
      </c>
      <c r="I903" t="n">
        <v>0.0501778508836434</v>
      </c>
      <c r="J903" t="n">
        <v>0.0309894398024647</v>
      </c>
      <c r="K903" t="n">
        <v>0.4460770065201767</v>
      </c>
      <c r="L903" t="b">
        <v>0</v>
      </c>
      <c r="M903" t="b">
        <v>0</v>
      </c>
      <c r="N903" t="inlineStr">
        <is>
          <t>alt</t>
        </is>
      </c>
      <c r="O903" t="n">
        <v>100</v>
      </c>
      <c r="P903" t="n">
        <v>0.01268</v>
      </c>
      <c r="Q903" t="n">
        <v>60</v>
      </c>
      <c r="R903" t="n">
        <v>0.05164</v>
      </c>
      <c r="S903">
        <f>IMAGE("https://mitra.stanford.edu/kundaje/oak/projects/neuro-variants/variant_position/credible/roussos_2024/variant_figures/roussos_2024.infant.GLU/rs61952902_count_position.png",4,220,900)</f>
        <v/>
      </c>
      <c r="T903">
        <f>IMAGE("https://mitra.stanford.edu/kundaje/oak/projects/neuro-variants/variant_position/credible/roussos_2024/variant_figures/roussos_2024.infant.GLU/rs61952902_profile_position.png",4,220,900)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-0.0199791928199999</v>
      </c>
      <c r="G904" t="n">
        <v>0.4690271761515323</v>
      </c>
      <c r="H904" t="n">
        <v>0.0100661055923987</v>
      </c>
      <c r="I904" t="n">
        <v>0.7153349296608711</v>
      </c>
      <c r="J904" t="n">
        <v>0.1050905002314865</v>
      </c>
      <c r="K904" t="n">
        <v>0.2033143487223326</v>
      </c>
      <c r="L904" t="b">
        <v>0</v>
      </c>
      <c r="M904" t="b">
        <v>0</v>
      </c>
      <c r="N904" t="inlineStr">
        <is>
          <t>ref</t>
        </is>
      </c>
      <c r="O904" t="n">
        <v>-5</v>
      </c>
      <c r="P904" t="n">
        <v>0.000532</v>
      </c>
      <c r="Q904" t="n">
        <v>-85</v>
      </c>
      <c r="R904" t="n">
        <v>0.0927</v>
      </c>
      <c r="S904">
        <f>IMAGE("https://mitra.stanford.edu/kundaje/oak/projects/neuro-variants/variant_position/credible/roussos_2024/variant_figures/roussos_2024.infant.GLU/rs36167334_count_position.png",4,220,900)</f>
        <v/>
      </c>
      <c r="T904">
        <f>IMAGE("https://mitra.stanford.edu/kundaje/oak/projects/neuro-variants/variant_position/credible/roussos_2024/variant_figures/roussos_2024.infant.GLU/rs36167334_profile_position.png",4,220,900)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0.0420620646</v>
      </c>
      <c r="G905" t="n">
        <v>0.206797952540509</v>
      </c>
      <c r="H905" t="n">
        <v>0.0796800124671905</v>
      </c>
      <c r="I905" t="n">
        <v>0.0006509324137739</v>
      </c>
      <c r="J905" t="n">
        <v>0.0149198615489758</v>
      </c>
      <c r="K905" t="n">
        <v>0.5924114798459924</v>
      </c>
      <c r="L905" t="b">
        <v>1</v>
      </c>
      <c r="M905" t="b">
        <v>0</v>
      </c>
      <c r="N905" t="inlineStr">
        <is>
          <t>alt</t>
        </is>
      </c>
      <c r="O905" t="n">
        <v>-30</v>
      </c>
      <c r="P905" t="n">
        <v>0.001709</v>
      </c>
      <c r="Q905" t="n">
        <v>-35</v>
      </c>
      <c r="R905" t="n">
        <v>0.04065</v>
      </c>
      <c r="S905">
        <f>IMAGE("https://mitra.stanford.edu/kundaje/oak/projects/neuro-variants/variant_position/credible/roussos_2024/variant_figures/roussos_2024.infant.GLU/rs146055085_count_position.png",4,220,900)</f>
        <v/>
      </c>
      <c r="T905">
        <f>IMAGE("https://mitra.stanford.edu/kundaje/oak/projects/neuro-variants/variant_position/credible/roussos_2024/variant_figures/roussos_2024.infant.GLU/rs146055085_profile_position.png",4,220,900)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0.062097188</v>
      </c>
      <c r="G906" t="n">
        <v>0.1330168143482313</v>
      </c>
      <c r="H906" t="n">
        <v>0.0167340830384364</v>
      </c>
      <c r="I906" t="n">
        <v>0.2866247698275708</v>
      </c>
      <c r="J906" t="n">
        <v>0.0620229722877488</v>
      </c>
      <c r="K906" t="n">
        <v>0.2994950785666294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0.10425</v>
      </c>
      <c r="Q906" t="n">
        <v>-100</v>
      </c>
      <c r="R906" t="n">
        <v>0.0766</v>
      </c>
      <c r="S906">
        <f>IMAGE("https://mitra.stanford.edu/kundaje/oak/projects/neuro-variants/variant_position/credible/roussos_2024/variant_figures/roussos_2024.infant.GLU/rs373281699_count_position.png",4,220,900)</f>
        <v/>
      </c>
      <c r="T906">
        <f>IMAGE("https://mitra.stanford.edu/kundaje/oak/projects/neuro-variants/variant_position/credible/roussos_2024/variant_figures/roussos_2024.infant.GLU/rs373281699_profile_position.png",4,220,900)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-0.0265436439999999</v>
      </c>
      <c r="G907" t="n">
        <v>0.3584851868368679</v>
      </c>
      <c r="H907" t="n">
        <v>0.0554422948692073</v>
      </c>
      <c r="I907" t="n">
        <v>0.0046069483323292</v>
      </c>
      <c r="J907" t="n">
        <v>0.018989616173196</v>
      </c>
      <c r="K907" t="n">
        <v>0.5605888414659137</v>
      </c>
      <c r="L907" t="b">
        <v>1</v>
      </c>
      <c r="M907" t="b">
        <v>0</v>
      </c>
      <c r="N907" t="inlineStr">
        <is>
          <t>ref</t>
        </is>
      </c>
      <c r="O907" t="n">
        <v>-100</v>
      </c>
      <c r="P907" t="n">
        <v>0.09644</v>
      </c>
      <c r="Q907" t="n">
        <v>100</v>
      </c>
      <c r="R907" t="n">
        <v>0.0381</v>
      </c>
      <c r="S907">
        <f>IMAGE("https://mitra.stanford.edu/kundaje/oak/projects/neuro-variants/variant_position/credible/roussos_2024/variant_figures/roussos_2024.infant.GLU/rs374837345_count_position.png",4,220,900)</f>
        <v/>
      </c>
      <c r="T907">
        <f>IMAGE("https://mitra.stanford.edu/kundaje/oak/projects/neuro-variants/variant_position/credible/roussos_2024/variant_figures/roussos_2024.infant.GLU/rs374837345_profile_position.png",4,220,900)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0.0404226989999999</v>
      </c>
      <c r="G908" t="n">
        <v>0.2193089150625265</v>
      </c>
      <c r="H908" t="n">
        <v>0.0126883177430394</v>
      </c>
      <c r="I908" t="n">
        <v>0.5090501121785017</v>
      </c>
      <c r="J908" t="n">
        <v>0.0379097863709516</v>
      </c>
      <c r="K908" t="n">
        <v>0.3993636332484919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0.007553</v>
      </c>
      <c r="Q908" t="n">
        <v>-100</v>
      </c>
      <c r="R908" t="n">
        <v>0.06464</v>
      </c>
      <c r="S908">
        <f>IMAGE("https://mitra.stanford.edu/kundaje/oak/projects/neuro-variants/variant_position/credible/roussos_2024/variant_figures/roussos_2024.infant.GLU/rs28421373_count_position.png",4,220,900)</f>
        <v/>
      </c>
      <c r="T908">
        <f>IMAGE("https://mitra.stanford.edu/kundaje/oak/projects/neuro-variants/variant_position/credible/roussos_2024/variant_figures/roussos_2024.infant.GLU/rs28421373_profile_position.png",4,220,900)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-0.0504510409999999</v>
      </c>
      <c r="G909" t="n">
        <v>0.1653699921839085</v>
      </c>
      <c r="H909" t="n">
        <v>0.0204046132870742</v>
      </c>
      <c r="I909" t="n">
        <v>0.1955511748584851</v>
      </c>
      <c r="J909" t="n">
        <v>0.0878712052734848</v>
      </c>
      <c r="K909" t="n">
        <v>0.24676835087327</v>
      </c>
      <c r="L909" t="b">
        <v>0</v>
      </c>
      <c r="M909" t="b">
        <v>0</v>
      </c>
      <c r="N909" t="inlineStr">
        <is>
          <t>ref</t>
        </is>
      </c>
      <c r="O909" t="n">
        <v>-60</v>
      </c>
      <c r="P909" t="n">
        <v>0.004692</v>
      </c>
      <c r="Q909" t="n">
        <v>-95</v>
      </c>
      <c r="R909" t="n">
        <v>0.2443</v>
      </c>
      <c r="S909">
        <f>IMAGE("https://mitra.stanford.edu/kundaje/oak/projects/neuro-variants/variant_position/credible/roussos_2024/variant_figures/roussos_2024.infant.GLU/rs28430881_count_position.png",4,220,900)</f>
        <v/>
      </c>
      <c r="T909">
        <f>IMAGE("https://mitra.stanford.edu/kundaje/oak/projects/neuro-variants/variant_position/credible/roussos_2024/variant_figures/roussos_2024.infant.GLU/rs28430881_profile_position.png",4,220,900)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0.0200444839999999</v>
      </c>
      <c r="G910" t="n">
        <v>0.433621093156574</v>
      </c>
      <c r="H910" t="n">
        <v>0.0342982147328942</v>
      </c>
      <c r="I910" t="n">
        <v>0.0379970767211322</v>
      </c>
      <c r="J910" t="n">
        <v>0.040022928195066</v>
      </c>
      <c r="K910" t="n">
        <v>0.3964328747597718</v>
      </c>
      <c r="L910" t="b">
        <v>0</v>
      </c>
      <c r="M910" t="b">
        <v>0</v>
      </c>
      <c r="N910" t="inlineStr">
        <is>
          <t>alt</t>
        </is>
      </c>
      <c r="O910" t="n">
        <v>-10</v>
      </c>
      <c r="P910" t="n">
        <v>0.001308</v>
      </c>
      <c r="Q910" t="n">
        <v>-50</v>
      </c>
      <c r="R910" t="n">
        <v>0.008970000000000001</v>
      </c>
      <c r="S910">
        <f>IMAGE("https://mitra.stanford.edu/kundaje/oak/projects/neuro-variants/variant_position/credible/roussos_2024/variant_figures/roussos_2024.infant.GLU/rs28498376_count_position.png",4,220,900)</f>
        <v/>
      </c>
      <c r="T910">
        <f>IMAGE("https://mitra.stanford.edu/kundaje/oak/projects/neuro-variants/variant_position/credible/roussos_2024/variant_figures/roussos_2024.infant.GLU/rs28498376_profile_position.png",4,220,900)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0.0189242818</v>
      </c>
      <c r="G911" t="n">
        <v>0.448754197256889</v>
      </c>
      <c r="H911" t="n">
        <v>0.008523917649156099</v>
      </c>
      <c r="I911" t="n">
        <v>0.8598288273937382</v>
      </c>
      <c r="J911" t="n">
        <v>0.0319341255318679</v>
      </c>
      <c r="K911" t="n">
        <v>0.4398655267418188</v>
      </c>
      <c r="L911" t="b">
        <v>0</v>
      </c>
      <c r="M911" t="b">
        <v>0</v>
      </c>
      <c r="N911" t="inlineStr">
        <is>
          <t>alt</t>
        </is>
      </c>
      <c r="O911" t="n">
        <v>-80</v>
      </c>
      <c r="P911" t="n">
        <v>0.01353</v>
      </c>
      <c r="Q911" t="n">
        <v>-40</v>
      </c>
      <c r="R911" t="n">
        <v>0.1198</v>
      </c>
      <c r="S911">
        <f>IMAGE("https://mitra.stanford.edu/kundaje/oak/projects/neuro-variants/variant_position/credible/roussos_2024/variant_figures/roussos_2024.infant.GLU/rs28478366_count_position.png",4,220,900)</f>
        <v/>
      </c>
      <c r="T911">
        <f>IMAGE("https://mitra.stanford.edu/kundaje/oak/projects/neuro-variants/variant_position/credible/roussos_2024/variant_figures/roussos_2024.infant.GLU/rs28478366_profile_position.png",4,220,900)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0.0049785037</v>
      </c>
      <c r="G912" t="n">
        <v>0.3529722416586712</v>
      </c>
      <c r="H912" t="n">
        <v>0.009914744653743099</v>
      </c>
      <c r="I912" t="n">
        <v>0.7182347959425133</v>
      </c>
      <c r="J912" t="n">
        <v>0.0387056592958398</v>
      </c>
      <c r="K912" t="n">
        <v>0.4016916115805996</v>
      </c>
      <c r="L912" t="b">
        <v>0</v>
      </c>
      <c r="M912" t="b">
        <v>0</v>
      </c>
      <c r="N912" t="inlineStr">
        <is>
          <t>alt</t>
        </is>
      </c>
      <c r="O912" t="n">
        <v>-40</v>
      </c>
      <c r="P912" t="n">
        <v>0.002266</v>
      </c>
      <c r="Q912" t="n">
        <v>-95</v>
      </c>
      <c r="R912" t="n">
        <v>0.03088</v>
      </c>
      <c r="S912">
        <f>IMAGE("https://mitra.stanford.edu/kundaje/oak/projects/neuro-variants/variant_position/credible/roussos_2024/variant_figures/roussos_2024.infant.GLU/rs11059094_count_position.png",4,220,900)</f>
        <v/>
      </c>
      <c r="T912">
        <f>IMAGE("https://mitra.stanford.edu/kundaje/oak/projects/neuro-variants/variant_position/credible/roussos_2024/variant_figures/roussos_2024.infant.GLU/rs11059094_profile_position.png",4,220,900)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0.0033707382999999</v>
      </c>
      <c r="G913" t="n">
        <v>0.607129022773475</v>
      </c>
      <c r="H913" t="n">
        <v>0.0099877592282278</v>
      </c>
      <c r="I913" t="n">
        <v>0.7385145598980589</v>
      </c>
      <c r="J913" t="n">
        <v>0.4047487819396371</v>
      </c>
      <c r="K913" t="n">
        <v>0.0449588646818606</v>
      </c>
      <c r="L913" t="b">
        <v>0</v>
      </c>
      <c r="M913" t="b">
        <v>0</v>
      </c>
      <c r="N913" t="inlineStr">
        <is>
          <t>alt</t>
        </is>
      </c>
      <c r="O913" t="n">
        <v>90</v>
      </c>
      <c r="P913" t="n">
        <v>0.004017</v>
      </c>
      <c r="Q913" t="n">
        <v>100</v>
      </c>
      <c r="R913" t="n">
        <v>0.1693</v>
      </c>
      <c r="S913">
        <f>IMAGE("https://mitra.stanford.edu/kundaje/oak/projects/neuro-variants/variant_position/credible/roussos_2024/variant_figures/roussos_2024.infant.GLU/rs11609875_count_position.png",4,220,900)</f>
        <v/>
      </c>
      <c r="T913">
        <f>IMAGE("https://mitra.stanford.edu/kundaje/oak/projects/neuro-variants/variant_position/credible/roussos_2024/variant_figures/roussos_2024.infant.GLU/rs11609875_profile_position.png",4,220,900)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-0.0135799928999999</v>
      </c>
      <c r="G914" t="n">
        <v>0.5173914175682259</v>
      </c>
      <c r="H914" t="n">
        <v>0.0115298692298744</v>
      </c>
      <c r="I914" t="n">
        <v>0.5961682519875066</v>
      </c>
      <c r="J914" t="n">
        <v>0.2727044247007208</v>
      </c>
      <c r="K914" t="n">
        <v>0.080426623174921</v>
      </c>
      <c r="L914" t="b">
        <v>0</v>
      </c>
      <c r="M914" t="b">
        <v>0</v>
      </c>
      <c r="N914" t="inlineStr">
        <is>
          <t>ref</t>
        </is>
      </c>
      <c r="O914" t="n">
        <v>85</v>
      </c>
      <c r="P914" t="n">
        <v>0.0625</v>
      </c>
      <c r="Q914" t="n">
        <v>-100</v>
      </c>
      <c r="R914" t="n">
        <v>0.2888</v>
      </c>
      <c r="S914">
        <f>IMAGE("https://mitra.stanford.edu/kundaje/oak/projects/neuro-variants/variant_position/credible/roussos_2024/variant_figures/roussos_2024.infant.GLU/rs11057905_count_position.png",4,220,900)</f>
        <v/>
      </c>
      <c r="T914">
        <f>IMAGE("https://mitra.stanford.edu/kundaje/oak/projects/neuro-variants/variant_position/credible/roussos_2024/variant_figures/roussos_2024.infant.GLU/rs11057905_profile_position.png",4,220,900)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-0.081559856</v>
      </c>
      <c r="G915" t="n">
        <v>0.0741898597141666</v>
      </c>
      <c r="H915" t="n">
        <v>0.0126009691950536</v>
      </c>
      <c r="I915" t="n">
        <v>0.5131943044533817</v>
      </c>
      <c r="J915" t="n">
        <v>0.0392005996604863</v>
      </c>
      <c r="K915" t="n">
        <v>0.4022943214141879</v>
      </c>
      <c r="L915" t="b">
        <v>0</v>
      </c>
      <c r="M915" t="b">
        <v>0</v>
      </c>
      <c r="N915" t="inlineStr">
        <is>
          <t>ref</t>
        </is>
      </c>
      <c r="O915" t="n">
        <v>65</v>
      </c>
      <c r="P915" t="n">
        <v>0.01807</v>
      </c>
      <c r="Q915" t="n">
        <v>-15</v>
      </c>
      <c r="R915" t="n">
        <v>0.003998</v>
      </c>
      <c r="S915">
        <f>IMAGE("https://mitra.stanford.edu/kundaje/oak/projects/neuro-variants/variant_position/credible/roussos_2024/variant_figures/roussos_2024.infant.GLU/rs114490539_count_position.png",4,220,900)</f>
        <v/>
      </c>
      <c r="T915">
        <f>IMAGE("https://mitra.stanford.edu/kundaje/oak/projects/neuro-variants/variant_position/credible/roussos_2024/variant_figures/roussos_2024.infant.GLU/rs114490539_profile_position.png",4,220,900)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-0.0224699932</v>
      </c>
      <c r="G916" t="n">
        <v>0.42362019194936</v>
      </c>
      <c r="H916" t="n">
        <v>0.0130906007002827</v>
      </c>
      <c r="I916" t="n">
        <v>0.4790661069555251</v>
      </c>
      <c r="J916" t="n">
        <v>0.0331764368703013</v>
      </c>
      <c r="K916" t="n">
        <v>0.4350340101925243</v>
      </c>
      <c r="L916" t="b">
        <v>0</v>
      </c>
      <c r="M916" t="b">
        <v>0</v>
      </c>
      <c r="N916" t="inlineStr">
        <is>
          <t>ref</t>
        </is>
      </c>
      <c r="O916" t="n">
        <v>-100</v>
      </c>
      <c r="P916" t="n">
        <v>0.10364</v>
      </c>
      <c r="Q916" t="n">
        <v>-5</v>
      </c>
      <c r="R916" t="n">
        <v>0.00891</v>
      </c>
      <c r="S916">
        <f>IMAGE("https://mitra.stanford.edu/kundaje/oak/projects/neuro-variants/variant_position/credible/roussos_2024/variant_figures/roussos_2024.infant.GLU/rs4758691_count_position.png",4,220,900)</f>
        <v/>
      </c>
      <c r="T916">
        <f>IMAGE("https://mitra.stanford.edu/kundaje/oak/projects/neuro-variants/variant_position/credible/roussos_2024/variant_figures/roussos_2024.infant.GLU/rs4758691_profile_position.png",4,220,900)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-0.0850653208</v>
      </c>
      <c r="G917" t="n">
        <v>0.06874905794986989</v>
      </c>
      <c r="H917" t="n">
        <v>0.0157957920218892</v>
      </c>
      <c r="I917" t="n">
        <v>0.3301156175267913</v>
      </c>
      <c r="J917" t="n">
        <v>0.0323827685795542</v>
      </c>
      <c r="K917" t="n">
        <v>0.4323760751079192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0.008959999999999999</v>
      </c>
      <c r="Q917" t="n">
        <v>-100</v>
      </c>
      <c r="R917" t="n">
        <v>0.0803</v>
      </c>
      <c r="S917">
        <f>IMAGE("https://mitra.stanford.edu/kundaje/oak/projects/neuro-variants/variant_position/credible/roussos_2024/variant_figures/roussos_2024.infant.GLU/rs4758690_count_position.png",4,220,900)</f>
        <v/>
      </c>
      <c r="T917">
        <f>IMAGE("https://mitra.stanford.edu/kundaje/oak/projects/neuro-variants/variant_position/credible/roussos_2024/variant_figures/roussos_2024.infant.GLU/rs4758690_profile_position.png",4,220,900)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-0.0009861130000000001</v>
      </c>
      <c r="G918" t="n">
        <v>0.6420290261989806</v>
      </c>
      <c r="H918" t="n">
        <v>0.0098400289890239</v>
      </c>
      <c r="I918" t="n">
        <v>0.7503897863495244</v>
      </c>
      <c r="J918" t="n">
        <v>0.029579576269318</v>
      </c>
      <c r="K918" t="n">
        <v>0.4528129003150651</v>
      </c>
      <c r="L918" t="b">
        <v>0</v>
      </c>
      <c r="M918" t="b">
        <v>0</v>
      </c>
      <c r="N918" t="inlineStr">
        <is>
          <t>ref</t>
        </is>
      </c>
      <c r="O918" t="n">
        <v>60</v>
      </c>
      <c r="P918" t="n">
        <v>0.0212</v>
      </c>
      <c r="Q918" t="n">
        <v>-80</v>
      </c>
      <c r="R918" t="n">
        <v>0.12024</v>
      </c>
      <c r="S918">
        <f>IMAGE("https://mitra.stanford.edu/kundaje/oak/projects/neuro-variants/variant_position/credible/roussos_2024/variant_figures/roussos_2024.infant.GLU/rs7485421_count_position.png",4,220,900)</f>
        <v/>
      </c>
      <c r="T918">
        <f>IMAGE("https://mitra.stanford.edu/kundaje/oak/projects/neuro-variants/variant_position/credible/roussos_2024/variant_figures/roussos_2024.infant.GLU/rs7485421_profile_position.png",4,220,900)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0.02711568114</v>
      </c>
      <c r="G919" t="n">
        <v>0.3161382334032678</v>
      </c>
      <c r="H919" t="n">
        <v>0.0142396018811794</v>
      </c>
      <c r="I919" t="n">
        <v>0.4026560170406447</v>
      </c>
      <c r="J919" t="n">
        <v>0.0411054035582794</v>
      </c>
      <c r="K919" t="n">
        <v>0.3889895273942925</v>
      </c>
      <c r="L919" t="b">
        <v>0</v>
      </c>
      <c r="M919" t="b">
        <v>0</v>
      </c>
      <c r="N919" t="inlineStr">
        <is>
          <t>alt</t>
        </is>
      </c>
      <c r="O919" t="n">
        <v>-100</v>
      </c>
      <c r="P919" t="n">
        <v>0.0231</v>
      </c>
      <c r="Q919" t="n">
        <v>40</v>
      </c>
      <c r="R919" t="n">
        <v>0.03125</v>
      </c>
      <c r="S919">
        <f>IMAGE("https://mitra.stanford.edu/kundaje/oak/projects/neuro-variants/variant_position/credible/roussos_2024/variant_figures/roussos_2024.infant.GLU/rs6489242_count_position.png",4,220,900)</f>
        <v/>
      </c>
      <c r="T919">
        <f>IMAGE("https://mitra.stanford.edu/kundaje/oak/projects/neuro-variants/variant_position/credible/roussos_2024/variant_figures/roussos_2024.infant.GLU/rs6489242_profile_position.png",4,220,900)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-0.0190492462</v>
      </c>
      <c r="G920" t="n">
        <v>0.284672444660458</v>
      </c>
      <c r="H920" t="n">
        <v>0.0124499245647479</v>
      </c>
      <c r="I920" t="n">
        <v>0.5234799302013071</v>
      </c>
      <c r="J920" t="n">
        <v>0.2840836438193082</v>
      </c>
      <c r="K920" t="n">
        <v>0.07321204073019991</v>
      </c>
      <c r="L920" t="b">
        <v>0</v>
      </c>
      <c r="M920" t="b">
        <v>0</v>
      </c>
      <c r="N920" t="inlineStr">
        <is>
          <t>ref</t>
        </is>
      </c>
      <c r="O920" t="n">
        <v>40</v>
      </c>
      <c r="P920" t="n">
        <v>0.00246</v>
      </c>
      <c r="Q920" t="n">
        <v>-10</v>
      </c>
      <c r="R920" t="n">
        <v>0.03784</v>
      </c>
      <c r="S920">
        <f>IMAGE("https://mitra.stanford.edu/kundaje/oak/projects/neuro-variants/variant_position/credible/roussos_2024/variant_figures/roussos_2024.infant.GLU/rs7488268_count_position.png",4,220,900)</f>
        <v/>
      </c>
      <c r="T920">
        <f>IMAGE("https://mitra.stanford.edu/kundaje/oak/projects/neuro-variants/variant_position/credible/roussos_2024/variant_figures/roussos_2024.infant.GLU/rs7488268_profile_position.png",4,220,900)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-0.0134457787471999</v>
      </c>
      <c r="G921" t="n">
        <v>0.5759046931147286</v>
      </c>
      <c r="H921" t="n">
        <v>0.010386957839129</v>
      </c>
      <c r="I921" t="n">
        <v>0.7052115054610111</v>
      </c>
      <c r="J921" t="n">
        <v>0.5539165325514231</v>
      </c>
      <c r="K921" t="n">
        <v>0.0253274765085825</v>
      </c>
      <c r="L921" t="b">
        <v>0</v>
      </c>
      <c r="M921" t="b">
        <v>0</v>
      </c>
      <c r="N921" t="inlineStr">
        <is>
          <t>ref</t>
        </is>
      </c>
      <c r="O921" t="n">
        <v>-100</v>
      </c>
      <c r="P921" t="n">
        <v>0.02428</v>
      </c>
      <c r="Q921" t="n">
        <v>-100</v>
      </c>
      <c r="R921" t="n">
        <v>0.355</v>
      </c>
      <c r="S921">
        <f>IMAGE("https://mitra.stanford.edu/kundaje/oak/projects/neuro-variants/variant_position/credible/roussos_2024/variant_figures/roussos_2024.infant.GLU/rs4758686_count_position.png",4,220,900)</f>
        <v/>
      </c>
      <c r="T921">
        <f>IMAGE("https://mitra.stanford.edu/kundaje/oak/projects/neuro-variants/variant_position/credible/roussos_2024/variant_figures/roussos_2024.infant.GLU/rs4758686_profile_position.png",4,220,900)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-0.0614786034</v>
      </c>
      <c r="G922" t="n">
        <v>0.1287341631285464</v>
      </c>
      <c r="H922" t="n">
        <v>0.0305609399662742</v>
      </c>
      <c r="I922" t="n">
        <v>0.0577616924368575</v>
      </c>
      <c r="J922" t="n">
        <v>0.073555413479133</v>
      </c>
      <c r="K922" t="n">
        <v>0.2639461310804334</v>
      </c>
      <c r="L922" t="b">
        <v>0</v>
      </c>
      <c r="M922" t="b">
        <v>0</v>
      </c>
      <c r="N922" t="inlineStr">
        <is>
          <t>ref</t>
        </is>
      </c>
      <c r="O922" t="n">
        <v>85</v>
      </c>
      <c r="P922" t="n">
        <v>0.00457</v>
      </c>
      <c r="Q922" t="n">
        <v>-20</v>
      </c>
      <c r="R922" t="n">
        <v>0.013794</v>
      </c>
      <c r="S922">
        <f>IMAGE("https://mitra.stanford.edu/kundaje/oak/projects/neuro-variants/variant_position/credible/roussos_2024/variant_figures/roussos_2024.infant.GLU/rs11057509_count_position.png",4,220,900)</f>
        <v/>
      </c>
      <c r="T922">
        <f>IMAGE("https://mitra.stanford.edu/kundaje/oak/projects/neuro-variants/variant_position/credible/roussos_2024/variant_figures/roussos_2024.infant.GLU/rs11057509_profile_position.png",4,220,900)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0.099488458</v>
      </c>
      <c r="G923" t="n">
        <v>0.0524329436154253</v>
      </c>
      <c r="H923" t="n">
        <v>0.0203669332598154</v>
      </c>
      <c r="I923" t="n">
        <v>0.1768220367757028</v>
      </c>
      <c r="J923" t="n">
        <v>0.4999790559756608</v>
      </c>
      <c r="K923" t="n">
        <v>0.0309128706526338</v>
      </c>
      <c r="L923" t="b">
        <v>0</v>
      </c>
      <c r="M923" t="b">
        <v>0</v>
      </c>
      <c r="N923" t="inlineStr">
        <is>
          <t>alt</t>
        </is>
      </c>
      <c r="O923" t="n">
        <v>70</v>
      </c>
      <c r="P923" t="n">
        <v>0.0282</v>
      </c>
      <c r="Q923" t="n">
        <v>70</v>
      </c>
      <c r="R923" t="n">
        <v>0.1792</v>
      </c>
      <c r="S923">
        <f>IMAGE("https://mitra.stanford.edu/kundaje/oak/projects/neuro-variants/variant_position/credible/roussos_2024/variant_figures/roussos_2024.infant.GLU/rs1047796_count_position.png",4,220,900)</f>
        <v/>
      </c>
      <c r="T923">
        <f>IMAGE("https://mitra.stanford.edu/kundaje/oak/projects/neuro-variants/variant_position/credible/roussos_2024/variant_figures/roussos_2024.infant.GLU/rs1047796_profile_position.png",4,220,900)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-0.0233660172</v>
      </c>
      <c r="G924" t="n">
        <v>0.3964872377124449</v>
      </c>
      <c r="H924" t="n">
        <v>0.0204050916536165</v>
      </c>
      <c r="I924" t="n">
        <v>0.1753055661124844</v>
      </c>
      <c r="J924" t="n">
        <v>0.0461694481800744</v>
      </c>
      <c r="K924" t="n">
        <v>0.3602739208955384</v>
      </c>
      <c r="L924" t="b">
        <v>0</v>
      </c>
      <c r="M924" t="b">
        <v>0</v>
      </c>
      <c r="N924" t="inlineStr">
        <is>
          <t>ref</t>
        </is>
      </c>
      <c r="O924" t="n">
        <v>100</v>
      </c>
      <c r="P924" t="n">
        <v>0.0315</v>
      </c>
      <c r="Q924" t="n">
        <v>-55</v>
      </c>
      <c r="R924" t="n">
        <v>0.0479</v>
      </c>
      <c r="S924">
        <f>IMAGE("https://mitra.stanford.edu/kundaje/oak/projects/neuro-variants/variant_position/credible/roussos_2024/variant_figures/roussos_2024.infant.GLU/rs11057249_count_position.png",4,220,900)</f>
        <v/>
      </c>
      <c r="T924">
        <f>IMAGE("https://mitra.stanford.edu/kundaje/oak/projects/neuro-variants/variant_position/credible/roussos_2024/variant_figures/roussos_2024.infant.GLU/rs11057249_profile_position.png",4,220,900)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-0.0350336238</v>
      </c>
      <c r="G925" t="n">
        <v>0.2829886386889314</v>
      </c>
      <c r="H925" t="n">
        <v>0.0109756274867583</v>
      </c>
      <c r="I925" t="n">
        <v>0.6414132984395783</v>
      </c>
      <c r="J925" t="n">
        <v>0.4739511453074362</v>
      </c>
      <c r="K925" t="n">
        <v>0.0339676816896776</v>
      </c>
      <c r="L925" t="b">
        <v>0</v>
      </c>
      <c r="M925" t="b">
        <v>0</v>
      </c>
      <c r="N925" t="inlineStr">
        <is>
          <t>ref</t>
        </is>
      </c>
      <c r="O925" t="n">
        <v>-90</v>
      </c>
      <c r="P925" t="n">
        <v>0.01587</v>
      </c>
      <c r="Q925" t="n">
        <v>-10</v>
      </c>
      <c r="R925" t="n">
        <v>0.01166</v>
      </c>
      <c r="S925">
        <f>IMAGE("https://mitra.stanford.edu/kundaje/oak/projects/neuro-variants/variant_position/credible/roussos_2024/variant_figures/roussos_2024.infant.GLU/rs12298151_count_position.png",4,220,900)</f>
        <v/>
      </c>
      <c r="T925">
        <f>IMAGE("https://mitra.stanford.edu/kundaje/oak/projects/neuro-variants/variant_position/credible/roussos_2024/variant_figures/roussos_2024.infant.GLU/rs12298151_profile_position.png",4,220,900)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0.0021465904</v>
      </c>
      <c r="G926" t="n">
        <v>0.5216161821160306</v>
      </c>
      <c r="H926" t="n">
        <v>0.0108789810112395</v>
      </c>
      <c r="I926" t="n">
        <v>0.6556395726359605</v>
      </c>
      <c r="J926" t="n">
        <v>0.0533598624308295</v>
      </c>
      <c r="K926" t="n">
        <v>0.3399602641450477</v>
      </c>
      <c r="L926" t="b">
        <v>0</v>
      </c>
      <c r="M926" t="b">
        <v>0</v>
      </c>
      <c r="N926" t="inlineStr">
        <is>
          <t>alt</t>
        </is>
      </c>
      <c r="O926" t="n">
        <v>-100</v>
      </c>
      <c r="P926" t="n">
        <v>0.02747</v>
      </c>
      <c r="Q926" t="n">
        <v>-10</v>
      </c>
      <c r="R926" t="n">
        <v>0.01889</v>
      </c>
      <c r="S926">
        <f>IMAGE("https://mitra.stanford.edu/kundaje/oak/projects/neuro-variants/variant_position/credible/roussos_2024/variant_figures/roussos_2024.infant.GLU/rs4275659_count_position.png",4,220,900)</f>
        <v/>
      </c>
      <c r="T926">
        <f>IMAGE("https://mitra.stanford.edu/kundaje/oak/projects/neuro-variants/variant_position/credible/roussos_2024/variant_figures/roussos_2024.infant.GLU/rs4275659_profile_position.png",4,220,900)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-0.06677973919999999</v>
      </c>
      <c r="G927" t="n">
        <v>0.1068607873321155</v>
      </c>
      <c r="H927" t="n">
        <v>0.0193286403557814</v>
      </c>
      <c r="I927" t="n">
        <v>0.2000648414764798</v>
      </c>
      <c r="J927" t="n">
        <v>0.8959522917171896</v>
      </c>
      <c r="K927" t="n">
        <v>0.003371665502502</v>
      </c>
      <c r="L927" t="b">
        <v>0</v>
      </c>
      <c r="M927" t="b">
        <v>0</v>
      </c>
      <c r="N927" t="inlineStr">
        <is>
          <t>ref</t>
        </is>
      </c>
      <c r="O927" t="n">
        <v>-15</v>
      </c>
      <c r="P927" t="n">
        <v>0.0006713999999999999</v>
      </c>
      <c r="Q927" t="n">
        <v>15</v>
      </c>
      <c r="R927" t="n">
        <v>0.01465</v>
      </c>
      <c r="S927">
        <f>IMAGE("https://mitra.stanford.edu/kundaje/oak/projects/neuro-variants/variant_position/credible/roussos_2024/variant_figures/roussos_2024.infant.GLU/rs61955196_count_position.png",4,220,900)</f>
        <v/>
      </c>
      <c r="T927">
        <f>IMAGE("https://mitra.stanford.edu/kundaje/oak/projects/neuro-variants/variant_position/credible/roussos_2024/variant_figures/roussos_2024.infant.GLU/rs61955196_profile_position.png",4,220,900)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0.0361263706</v>
      </c>
      <c r="G928" t="n">
        <v>0.2522405037399292</v>
      </c>
      <c r="H928" t="n">
        <v>0.0199286639650135</v>
      </c>
      <c r="I928" t="n">
        <v>0.1893039914413496</v>
      </c>
      <c r="J928" t="n">
        <v>0.6113571727771776</v>
      </c>
      <c r="K928" t="n">
        <v>0.0202610638038673</v>
      </c>
      <c r="L928" t="b">
        <v>0</v>
      </c>
      <c r="M928" t="b">
        <v>0</v>
      </c>
      <c r="N928" t="inlineStr">
        <is>
          <t>alt</t>
        </is>
      </c>
      <c r="O928" t="n">
        <v>0</v>
      </c>
      <c r="P928" t="n">
        <v>0</v>
      </c>
      <c r="Q928" t="n">
        <v>90</v>
      </c>
      <c r="R928" t="n">
        <v>0.2778</v>
      </c>
      <c r="S928">
        <f>IMAGE("https://mitra.stanford.edu/kundaje/oak/projects/neuro-variants/variant_position/credible/roussos_2024/variant_figures/roussos_2024.infant.GLU/rs3741530_count_position.png",4,220,900)</f>
        <v/>
      </c>
      <c r="T928">
        <f>IMAGE("https://mitra.stanford.edu/kundaje/oak/projects/neuro-variants/variant_position/credible/roussos_2024/variant_figures/roussos_2024.infant.GLU/rs3741530_profile_position.png",4,220,900)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-0.1363474964</v>
      </c>
      <c r="G929" t="n">
        <v>0.0303013536862337</v>
      </c>
      <c r="H929" t="n">
        <v>0.027571838799597</v>
      </c>
      <c r="I929" t="n">
        <v>0.0768778831924026</v>
      </c>
      <c r="J929" t="n">
        <v>0.0389007694173151</v>
      </c>
      <c r="K929" t="n">
        <v>0.3917660539104559</v>
      </c>
      <c r="L929" t="b">
        <v>0</v>
      </c>
      <c r="M929" t="b">
        <v>0</v>
      </c>
      <c r="N929" t="inlineStr">
        <is>
          <t>ref</t>
        </is>
      </c>
      <c r="O929" t="n">
        <v>70</v>
      </c>
      <c r="P929" t="n">
        <v>0.010376</v>
      </c>
      <c r="Q929" t="n">
        <v>50</v>
      </c>
      <c r="R929" t="n">
        <v>0.02441</v>
      </c>
      <c r="S929">
        <f>IMAGE("https://mitra.stanford.edu/kundaje/oak/projects/neuro-variants/variant_position/credible/roussos_2024/variant_figures/roussos_2024.infant.GLU/rs12425850_count_position.png",4,220,900)</f>
        <v/>
      </c>
      <c r="T929">
        <f>IMAGE("https://mitra.stanford.edu/kundaje/oak/projects/neuro-variants/variant_position/credible/roussos_2024/variant_figures/roussos_2024.infant.GLU/rs12425850_profile_position.png",4,220,900)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0.00747505776</v>
      </c>
      <c r="G930" t="n">
        <v>0.5757496411791211</v>
      </c>
      <c r="H930" t="n">
        <v>0.008428639534967799</v>
      </c>
      <c r="I930" t="n">
        <v>0.8694974805139575</v>
      </c>
      <c r="J930" t="n">
        <v>0.0502899093895367</v>
      </c>
      <c r="K930" t="n">
        <v>0.3432270558499421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0.001587</v>
      </c>
      <c r="Q930" t="n">
        <v>50</v>
      </c>
      <c r="R930" t="n">
        <v>0.04022</v>
      </c>
      <c r="S930">
        <f>IMAGE("https://mitra.stanford.edu/kundaje/oak/projects/neuro-variants/variant_position/credible/roussos_2024/variant_figures/roussos_2024.infant.GLU/rs1790094_count_position.png",4,220,900)</f>
        <v/>
      </c>
      <c r="T930">
        <f>IMAGE("https://mitra.stanford.edu/kundaje/oak/projects/neuro-variants/variant_position/credible/roussos_2024/variant_figures/roussos_2024.infant.GLU/rs1790094_profile_position.png",4,220,900)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0.00310621064</v>
      </c>
      <c r="G931" t="n">
        <v>0.8554443818539119</v>
      </c>
      <c r="H931" t="n">
        <v>0.008017065152735601</v>
      </c>
      <c r="I931" t="n">
        <v>0.8973027021271512</v>
      </c>
      <c r="J931" t="n">
        <v>0.1092506448554862</v>
      </c>
      <c r="K931" t="n">
        <v>0.1927704914810921</v>
      </c>
      <c r="L931" t="b">
        <v>0</v>
      </c>
      <c r="M931" t="b">
        <v>0</v>
      </c>
      <c r="N931" t="inlineStr">
        <is>
          <t>alt</t>
        </is>
      </c>
      <c r="O931" t="n">
        <v>70</v>
      </c>
      <c r="P931" t="n">
        <v>0.01915</v>
      </c>
      <c r="Q931" t="n">
        <v>-55</v>
      </c>
      <c r="R931" t="n">
        <v>0.11475</v>
      </c>
      <c r="S931">
        <f>IMAGE("https://mitra.stanford.edu/kundaje/oak/projects/neuro-variants/variant_position/credible/roussos_2024/variant_figures/roussos_2024.infant.GLU/rs58991895_count_position.png",4,220,900)</f>
        <v/>
      </c>
      <c r="T931">
        <f>IMAGE("https://mitra.stanford.edu/kundaje/oak/projects/neuro-variants/variant_position/credible/roussos_2024/variant_figures/roussos_2024.infant.GLU/rs58991895_profile_position.png",4,220,900)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-0.0788155653999999</v>
      </c>
      <c r="G932" t="n">
        <v>0.07973044906836189</v>
      </c>
      <c r="H932" t="n">
        <v>0.0110710491477129</v>
      </c>
      <c r="I932" t="n">
        <v>0.6405173875201176</v>
      </c>
      <c r="J932" t="n">
        <v>0.0530611345047288</v>
      </c>
      <c r="K932" t="n">
        <v>0.3254492601509393</v>
      </c>
      <c r="L932" t="b">
        <v>0</v>
      </c>
      <c r="M932" t="b">
        <v>0</v>
      </c>
      <c r="N932" t="inlineStr">
        <is>
          <t>ref</t>
        </is>
      </c>
      <c r="O932" t="n">
        <v>-85</v>
      </c>
      <c r="P932" t="n">
        <v>0.007557</v>
      </c>
      <c r="Q932" t="n">
        <v>95</v>
      </c>
      <c r="R932" t="n">
        <v>0.02893</v>
      </c>
      <c r="S932">
        <f>IMAGE("https://mitra.stanford.edu/kundaje/oak/projects/neuro-variants/variant_position/credible/roussos_2024/variant_figures/roussos_2024.infant.GLU/rs1727302_count_position.png",4,220,900)</f>
        <v/>
      </c>
      <c r="T932">
        <f>IMAGE("https://mitra.stanford.edu/kundaje/oak/projects/neuro-variants/variant_position/credible/roussos_2024/variant_figures/roussos_2024.infant.GLU/rs1727302_profile_position.png",4,220,900)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-0.0256039806</v>
      </c>
      <c r="G933" t="n">
        <v>0.3703876708022887</v>
      </c>
      <c r="H933" t="n">
        <v>0.06672378421012939</v>
      </c>
      <c r="I933" t="n">
        <v>0.0018113816049166</v>
      </c>
      <c r="J933" t="n">
        <v>0.0018717343856786</v>
      </c>
      <c r="K933" t="n">
        <v>0.8411282524182799</v>
      </c>
      <c r="L933" t="b">
        <v>0</v>
      </c>
      <c r="M933" t="b">
        <v>0</v>
      </c>
      <c r="N933" t="inlineStr">
        <is>
          <t>ref</t>
        </is>
      </c>
      <c r="O933" t="n">
        <v>-95</v>
      </c>
      <c r="P933" t="n">
        <v>0.00659</v>
      </c>
      <c r="Q933" t="n">
        <v>-90</v>
      </c>
      <c r="R933" t="n">
        <v>0.03696</v>
      </c>
      <c r="S933">
        <f>IMAGE("https://mitra.stanford.edu/kundaje/oak/projects/neuro-variants/variant_position/credible/roussos_2024/variant_figures/roussos_2024.infant.GLU/rs11613128_count_position.png",4,220,900)</f>
        <v/>
      </c>
      <c r="T933">
        <f>IMAGE("https://mitra.stanford.edu/kundaje/oak/projects/neuro-variants/variant_position/credible/roussos_2024/variant_figures/roussos_2024.infant.GLU/rs11613128_profile_position.png",4,220,900)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-0.0307676707999999</v>
      </c>
      <c r="G934" t="n">
        <v>0.3153637901172108</v>
      </c>
      <c r="H934" t="n">
        <v>0.0324067674163261</v>
      </c>
      <c r="I934" t="n">
        <v>0.0444861352515097</v>
      </c>
      <c r="J934" t="n">
        <v>0.0561354968143036</v>
      </c>
      <c r="K934" t="n">
        <v>0.3298273178912837</v>
      </c>
      <c r="L934" t="b">
        <v>0</v>
      </c>
      <c r="M934" t="b">
        <v>0</v>
      </c>
      <c r="N934" t="inlineStr">
        <is>
          <t>ref</t>
        </is>
      </c>
      <c r="O934" t="n">
        <v>-90</v>
      </c>
      <c r="P934" t="n">
        <v>0.1796</v>
      </c>
      <c r="Q934" t="n">
        <v>-80</v>
      </c>
      <c r="R934" t="n">
        <v>0.1404</v>
      </c>
      <c r="S934">
        <f>IMAGE("https://mitra.stanford.edu/kundaje/oak/projects/neuro-variants/variant_position/credible/roussos_2024/variant_figures/roussos_2024.infant.GLU/rs4460848_count_position.png",4,220,900)</f>
        <v/>
      </c>
      <c r="T934">
        <f>IMAGE("https://mitra.stanford.edu/kundaje/oak/projects/neuro-variants/variant_position/credible/roussos_2024/variant_figures/roussos_2024.infant.GLU/rs4460848_profile_position.png",4,220,900)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-0.0834628306</v>
      </c>
      <c r="G935" t="n">
        <v>0.07120707237617829</v>
      </c>
      <c r="H935" t="n">
        <v>0.0138512247121197</v>
      </c>
      <c r="I935" t="n">
        <v>0.4268152964948399</v>
      </c>
      <c r="J935" t="n">
        <v>0.0082034436385281</v>
      </c>
      <c r="K935" t="n">
        <v>0.6881846054820782</v>
      </c>
      <c r="L935" t="b">
        <v>0</v>
      </c>
      <c r="M935" t="b">
        <v>0</v>
      </c>
      <c r="N935" t="inlineStr">
        <is>
          <t>ref</t>
        </is>
      </c>
      <c r="O935" t="n">
        <v>5</v>
      </c>
      <c r="P935" t="n">
        <v>0.006226</v>
      </c>
      <c r="Q935" t="n">
        <v>15</v>
      </c>
      <c r="R935" t="n">
        <v>0.01611</v>
      </c>
      <c r="S935">
        <f>IMAGE("https://mitra.stanford.edu/kundaje/oak/projects/neuro-variants/variant_position/credible/roussos_2024/variant_figures/roussos_2024.infant.GLU/rs74917517_count_position.png",4,220,900)</f>
        <v/>
      </c>
      <c r="T935">
        <f>IMAGE("https://mitra.stanford.edu/kundaje/oak/projects/neuro-variants/variant_position/credible/roussos_2024/variant_figures/roussos_2024.infant.GLU/rs74917517_profile_position.png",4,220,900)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-0.02226671214</v>
      </c>
      <c r="G936" t="n">
        <v>0.4143697813571365</v>
      </c>
      <c r="H936" t="n">
        <v>0.0673491319030608</v>
      </c>
      <c r="I936" t="n">
        <v>0.0016807225641749</v>
      </c>
      <c r="J936" t="n">
        <v>0.0439879626975903</v>
      </c>
      <c r="K936" t="n">
        <v>0.3689594625551596</v>
      </c>
      <c r="L936" t="b">
        <v>1</v>
      </c>
      <c r="M936" t="b">
        <v>0</v>
      </c>
      <c r="N936" t="inlineStr">
        <is>
          <t>ref</t>
        </is>
      </c>
      <c r="O936" t="n">
        <v>-25</v>
      </c>
      <c r="P936" t="n">
        <v>0.03613</v>
      </c>
      <c r="Q936" t="n">
        <v>-60</v>
      </c>
      <c r="R936" t="n">
        <v>0.02878</v>
      </c>
      <c r="S936">
        <f>IMAGE("https://mitra.stanford.edu/kundaje/oak/projects/neuro-variants/variant_position/credible/roussos_2024/variant_figures/roussos_2024.infant.GLU/rs74240770_count_position.png",4,220,900)</f>
        <v/>
      </c>
      <c r="T936">
        <f>IMAGE("https://mitra.stanford.edu/kundaje/oak/projects/neuro-variants/variant_position/credible/roussos_2024/variant_figures/roussos_2024.infant.GLU/rs74240770_profile_position.png",4,220,900)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-0.0350819271999999</v>
      </c>
      <c r="G937" t="n">
        <v>0.2725568606749774</v>
      </c>
      <c r="H937" t="n">
        <v>0.0543019426571484</v>
      </c>
      <c r="I937" t="n">
        <v>0.0050989563028516</v>
      </c>
      <c r="J937" t="n">
        <v>0.0064485548623205</v>
      </c>
      <c r="K937" t="n">
        <v>0.7212163932742121</v>
      </c>
      <c r="L937" t="b">
        <v>0</v>
      </c>
      <c r="M937" t="b">
        <v>0</v>
      </c>
      <c r="N937" t="inlineStr">
        <is>
          <t>ref</t>
        </is>
      </c>
      <c r="O937" t="n">
        <v>-50</v>
      </c>
      <c r="P937" t="n">
        <v>0.0004578</v>
      </c>
      <c r="Q937" t="n">
        <v>-95</v>
      </c>
      <c r="R937" t="n">
        <v>0.02527</v>
      </c>
      <c r="S937">
        <f>IMAGE("https://mitra.stanford.edu/kundaje/oak/projects/neuro-variants/variant_position/credible/roussos_2024/variant_figures/roussos_2024.infant.GLU/rs1790134_count_position.png",4,220,900)</f>
        <v/>
      </c>
      <c r="T937">
        <f>IMAGE("https://mitra.stanford.edu/kundaje/oak/projects/neuro-variants/variant_position/credible/roussos_2024/variant_figures/roussos_2024.infant.GLU/rs1790134_profile_position.png",4,220,900)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0.248282506</v>
      </c>
      <c r="G938" t="n">
        <v>0.0061314226285289</v>
      </c>
      <c r="H938" t="n">
        <v>0.0303603894992792</v>
      </c>
      <c r="I938" t="n">
        <v>0.0582730302155407</v>
      </c>
      <c r="J938" t="n">
        <v>0.0575949646156219</v>
      </c>
      <c r="K938" t="n">
        <v>0.3092276561807728</v>
      </c>
      <c r="L938" t="b">
        <v>1</v>
      </c>
      <c r="M938" t="b">
        <v>1</v>
      </c>
      <c r="N938" t="inlineStr">
        <is>
          <t>alt</t>
        </is>
      </c>
      <c r="O938" t="n">
        <v>70</v>
      </c>
      <c r="P938" t="n">
        <v>0.011536</v>
      </c>
      <c r="Q938" t="n">
        <v>-35</v>
      </c>
      <c r="R938" t="n">
        <v>0.1306</v>
      </c>
      <c r="S938">
        <f>IMAGE("https://mitra.stanford.edu/kundaje/oak/projects/neuro-variants/variant_position/credible/roussos_2024/variant_figures/roussos_2024.infant.GLU/rs1790133_count_position.png",4,220,900)</f>
        <v/>
      </c>
      <c r="T938">
        <f>IMAGE("https://mitra.stanford.edu/kundaje/oak/projects/neuro-variants/variant_position/credible/roussos_2024/variant_figures/roussos_2024.infant.GLU/rs1790133_profile_position.png",4,220,900)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-0.151666804</v>
      </c>
      <c r="G939" t="n">
        <v>0.0205844944751745</v>
      </c>
      <c r="H939" t="n">
        <v>0.0181414640850993</v>
      </c>
      <c r="I939" t="n">
        <v>0.2418397353017067</v>
      </c>
      <c r="J939" t="n">
        <v>0.2800282193170044</v>
      </c>
      <c r="K939" t="n">
        <v>0.0741515870295528</v>
      </c>
      <c r="L939" t="b">
        <v>0</v>
      </c>
      <c r="M939" t="b">
        <v>0</v>
      </c>
      <c r="N939" t="inlineStr">
        <is>
          <t>ref</t>
        </is>
      </c>
      <c r="O939" t="n">
        <v>-35</v>
      </c>
      <c r="P939" t="n">
        <v>0.010025</v>
      </c>
      <c r="Q939" t="n">
        <v>95</v>
      </c>
      <c r="R939" t="n">
        <v>0.07764</v>
      </c>
      <c r="S939">
        <f>IMAGE("https://mitra.stanford.edu/kundaje/oak/projects/neuro-variants/variant_position/credible/roussos_2024/variant_figures/roussos_2024.infant.GLU/rs1727331_count_position.png",4,220,900)</f>
        <v/>
      </c>
      <c r="T939">
        <f>IMAGE("https://mitra.stanford.edu/kundaje/oak/projects/neuro-variants/variant_position/credible/roussos_2024/variant_figures/roussos_2024.infant.GLU/rs1727331_profile_position.png",4,220,900)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0.0284468304</v>
      </c>
      <c r="G940" t="n">
        <v>0.3233271082012384</v>
      </c>
      <c r="H940" t="n">
        <v>0.06259422586344419</v>
      </c>
      <c r="I940" t="n">
        <v>0.0025414307793034</v>
      </c>
      <c r="J940" t="n">
        <v>0.0476256090301813</v>
      </c>
      <c r="K940" t="n">
        <v>0.3562760962300736</v>
      </c>
      <c r="L940" t="b">
        <v>1</v>
      </c>
      <c r="M940" t="b">
        <v>0</v>
      </c>
      <c r="N940" t="inlineStr">
        <is>
          <t>alt</t>
        </is>
      </c>
      <c r="O940" t="n">
        <v>-100</v>
      </c>
      <c r="P940" t="n">
        <v>0.0524</v>
      </c>
      <c r="Q940" t="n">
        <v>-100</v>
      </c>
      <c r="R940" t="n">
        <v>0.109</v>
      </c>
      <c r="S940">
        <f>IMAGE("https://mitra.stanford.edu/kundaje/oak/projects/neuro-variants/variant_position/credible/roussos_2024/variant_figures/roussos_2024.infant.GLU/rs11554169_count_position.png",4,220,900)</f>
        <v/>
      </c>
      <c r="T940">
        <f>IMAGE("https://mitra.stanford.edu/kundaje/oak/projects/neuro-variants/variant_position/credible/roussos_2024/variant_figures/roussos_2024.infant.GLU/rs11554169_profile_position.png",4,220,900)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-0.1174707511999999</v>
      </c>
      <c r="G941" t="n">
        <v>0.0364714339058858</v>
      </c>
      <c r="H941" t="n">
        <v>0.0142728098437079</v>
      </c>
      <c r="I941" t="n">
        <v>0.4128624121638262</v>
      </c>
      <c r="J941" t="n">
        <v>0.3547840560858925</v>
      </c>
      <c r="K941" t="n">
        <v>0.0537873594155721</v>
      </c>
      <c r="L941" t="b">
        <v>0</v>
      </c>
      <c r="M941" t="b">
        <v>0</v>
      </c>
      <c r="N941" t="inlineStr">
        <is>
          <t>ref</t>
        </is>
      </c>
      <c r="O941" t="n">
        <v>-75</v>
      </c>
      <c r="P941" t="n">
        <v>0.01486</v>
      </c>
      <c r="Q941" t="n">
        <v>100</v>
      </c>
      <c r="R941" t="n">
        <v>0.1998</v>
      </c>
      <c r="S941">
        <f>IMAGE("https://mitra.stanford.edu/kundaje/oak/projects/neuro-variants/variant_position/credible/roussos_2024/variant_figures/roussos_2024.infant.GLU/rs1980251_count_position.png",4,220,900)</f>
        <v/>
      </c>
      <c r="T941">
        <f>IMAGE("https://mitra.stanford.edu/kundaje/oak/projects/neuro-variants/variant_position/credible/roussos_2024/variant_figures/roussos_2024.infant.GLU/rs1980251_profile_position.png",4,220,900)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-0.133788754</v>
      </c>
      <c r="G942" t="n">
        <v>0.0272504908574337</v>
      </c>
      <c r="H942" t="n">
        <v>0.0245813714906393</v>
      </c>
      <c r="I942" t="n">
        <v>0.1066683668546246</v>
      </c>
      <c r="J942" t="n">
        <v>0.2343878833307612</v>
      </c>
      <c r="K942" t="n">
        <v>0.090547573123367</v>
      </c>
      <c r="L942" t="b">
        <v>0</v>
      </c>
      <c r="M942" t="b">
        <v>0</v>
      </c>
      <c r="N942" t="inlineStr">
        <is>
          <t>ref</t>
        </is>
      </c>
      <c r="O942" t="n">
        <v>70</v>
      </c>
      <c r="P942" t="n">
        <v>0.1168</v>
      </c>
      <c r="Q942" t="n">
        <v>-95</v>
      </c>
      <c r="R942" t="n">
        <v>0.293</v>
      </c>
      <c r="S942">
        <f>IMAGE("https://mitra.stanford.edu/kundaje/oak/projects/neuro-variants/variant_position/credible/roussos_2024/variant_figures/roussos_2024.infant.GLU/rs78197735_count_position.png",4,220,900)</f>
        <v/>
      </c>
      <c r="T942">
        <f>IMAGE("https://mitra.stanford.edu/kundaje/oak/projects/neuro-variants/variant_position/credible/roussos_2024/variant_figures/roussos_2024.infant.GLU/rs78197735_profile_position.png",4,220,900)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0.0129637824</v>
      </c>
      <c r="G943" t="n">
        <v>0.2310815251552585</v>
      </c>
      <c r="H943" t="n">
        <v>0.0173807041280326</v>
      </c>
      <c r="I943" t="n">
        <v>0.2742518219770071</v>
      </c>
      <c r="J943" t="n">
        <v>0.4540069225512025</v>
      </c>
      <c r="K943" t="n">
        <v>0.0366705438792818</v>
      </c>
      <c r="L943" t="b">
        <v>0</v>
      </c>
      <c r="M943" t="b">
        <v>0</v>
      </c>
      <c r="N943" t="inlineStr">
        <is>
          <t>alt</t>
        </is>
      </c>
      <c r="O943" t="n">
        <v>100</v>
      </c>
      <c r="P943" t="n">
        <v>0.011185</v>
      </c>
      <c r="Q943" t="n">
        <v>100</v>
      </c>
      <c r="R943" t="n">
        <v>0.191</v>
      </c>
      <c r="S943">
        <f>IMAGE("https://mitra.stanford.edu/kundaje/oak/projects/neuro-variants/variant_position/credible/roussos_2024/variant_figures/roussos_2024.infant.GLU/rs76514049_count_position.png",4,220,900)</f>
        <v/>
      </c>
      <c r="T943">
        <f>IMAGE("https://mitra.stanford.edu/kundaje/oak/projects/neuro-variants/variant_position/credible/roussos_2024/variant_figures/roussos_2024.infant.GLU/rs76514049_profile_position.png",4,220,900)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0.079535856</v>
      </c>
      <c r="G944" t="n">
        <v>0.0857842778477818</v>
      </c>
      <c r="H944" t="n">
        <v>0.0133941139692869</v>
      </c>
      <c r="I944" t="n">
        <v>0.4585094561695721</v>
      </c>
      <c r="J944" t="n">
        <v>0.3260984589607354</v>
      </c>
      <c r="K944" t="n">
        <v>0.0614371100678952</v>
      </c>
      <c r="L944" t="b">
        <v>0</v>
      </c>
      <c r="M944" t="b">
        <v>0</v>
      </c>
      <c r="N944" t="inlineStr">
        <is>
          <t>alt</t>
        </is>
      </c>
      <c r="O944" t="n">
        <v>80</v>
      </c>
      <c r="P944" t="n">
        <v>0.02382</v>
      </c>
      <c r="Q944" t="n">
        <v>-90</v>
      </c>
      <c r="R944" t="n">
        <v>0.2053</v>
      </c>
      <c r="S944">
        <f>IMAGE("https://mitra.stanford.edu/kundaje/oak/projects/neuro-variants/variant_position/credible/roussos_2024/variant_figures/roussos_2024.infant.GLU/rs74240779_count_position.png",4,220,900)</f>
        <v/>
      </c>
      <c r="T944">
        <f>IMAGE("https://mitra.stanford.edu/kundaje/oak/projects/neuro-variants/variant_position/credible/roussos_2024/variant_figures/roussos_2024.infant.GLU/rs74240779_profile_position.png",4,220,900)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0.0209020242</v>
      </c>
      <c r="G945" t="n">
        <v>0.4194239788231977</v>
      </c>
      <c r="H945" t="n">
        <v>0.0731444090010694</v>
      </c>
      <c r="I945" t="n">
        <v>0.001066952652012</v>
      </c>
      <c r="J945" t="n">
        <v>0.07801538834630389</v>
      </c>
      <c r="K945" t="n">
        <v>0.2547351403170259</v>
      </c>
      <c r="L945" t="b">
        <v>1</v>
      </c>
      <c r="M945" t="b">
        <v>1</v>
      </c>
      <c r="N945" t="inlineStr">
        <is>
          <t>alt</t>
        </is>
      </c>
      <c r="O945" t="n">
        <v>5</v>
      </c>
      <c r="P945" t="n">
        <v>0.0001831</v>
      </c>
      <c r="Q945" t="n">
        <v>-60</v>
      </c>
      <c r="R945" t="n">
        <v>0.07056</v>
      </c>
      <c r="S945">
        <f>IMAGE("https://mitra.stanford.edu/kundaje/oak/projects/neuro-variants/variant_position/credible/roussos_2024/variant_figures/roussos_2024.infant.GLU/rs67382382_count_position.png",4,220,900)</f>
        <v/>
      </c>
      <c r="T945">
        <f>IMAGE("https://mitra.stanford.edu/kundaje/oak/projects/neuro-variants/variant_position/credible/roussos_2024/variant_figures/roussos_2024.infant.GLU/rs67382382_profile_position.png",4,220,900)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0.1830131332</v>
      </c>
      <c r="G946" t="n">
        <v>0.0135846685013931</v>
      </c>
      <c r="H946" t="n">
        <v>0.022257752195802</v>
      </c>
      <c r="I946" t="n">
        <v>0.1414518882067171</v>
      </c>
      <c r="J946" t="n">
        <v>0.0184373553208844</v>
      </c>
      <c r="K946" t="n">
        <v>0.5498541550739547</v>
      </c>
      <c r="L946" t="b">
        <v>1</v>
      </c>
      <c r="M946" t="b">
        <v>0</v>
      </c>
      <c r="N946" t="inlineStr">
        <is>
          <t>alt</t>
        </is>
      </c>
      <c r="O946" t="n">
        <v>95</v>
      </c>
      <c r="P946" t="n">
        <v>0.09180000000000001</v>
      </c>
      <c r="Q946" t="n">
        <v>80</v>
      </c>
      <c r="R946" t="n">
        <v>0.05066</v>
      </c>
      <c r="S946">
        <f>IMAGE("https://mitra.stanford.edu/kundaje/oak/projects/neuro-variants/variant_position/credible/roussos_2024/variant_figures/roussos_2024.infant.GLU/rs58537268_count_position.png",4,220,900)</f>
        <v/>
      </c>
      <c r="T946">
        <f>IMAGE("https://mitra.stanford.edu/kundaje/oak/projects/neuro-variants/variant_position/credible/roussos_2024/variant_figures/roussos_2024.infant.GLU/rs58537268_profile_position.png",4,220,900)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0.0125346155199999</v>
      </c>
      <c r="G947" t="n">
        <v>0.5664306726502095</v>
      </c>
      <c r="H947" t="n">
        <v>0.0437396368763043</v>
      </c>
      <c r="I947" t="n">
        <v>0.0138909023589338</v>
      </c>
      <c r="J947" t="n">
        <v>0.0068255473004254</v>
      </c>
      <c r="K947" t="n">
        <v>0.7142461896247252</v>
      </c>
      <c r="L947" t="b">
        <v>0</v>
      </c>
      <c r="M947" t="b">
        <v>0</v>
      </c>
      <c r="N947" t="inlineStr">
        <is>
          <t>alt</t>
        </is>
      </c>
      <c r="O947" t="n">
        <v>100</v>
      </c>
      <c r="P947" t="n">
        <v>0.05673</v>
      </c>
      <c r="Q947" t="n">
        <v>100</v>
      </c>
      <c r="R947" t="n">
        <v>0.1326</v>
      </c>
      <c r="S947">
        <f>IMAGE("https://mitra.stanford.edu/kundaje/oak/projects/neuro-variants/variant_position/credible/roussos_2024/variant_figures/roussos_2024.infant.GLU/rs117741953_count_position.png",4,220,900)</f>
        <v/>
      </c>
      <c r="T947">
        <f>IMAGE("https://mitra.stanford.edu/kundaje/oak/projects/neuro-variants/variant_position/credible/roussos_2024/variant_figures/roussos_2024.infant.GLU/rs117741953_profile_position.png",4,220,900)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0.0189191942</v>
      </c>
      <c r="G948" t="n">
        <v>0.1558588125530313</v>
      </c>
      <c r="H948" t="n">
        <v>0.0194465196230596</v>
      </c>
      <c r="I948" t="n">
        <v>0.1987668392298893</v>
      </c>
      <c r="J948" t="n">
        <v>0.0394155514892303</v>
      </c>
      <c r="K948" t="n">
        <v>0.4024109991019262</v>
      </c>
      <c r="L948" t="b">
        <v>0</v>
      </c>
      <c r="M948" t="b">
        <v>0</v>
      </c>
      <c r="N948" t="inlineStr">
        <is>
          <t>alt</t>
        </is>
      </c>
      <c r="O948" t="n">
        <v>30</v>
      </c>
      <c r="P948" t="n">
        <v>0.00235</v>
      </c>
      <c r="Q948" t="n">
        <v>20</v>
      </c>
      <c r="R948" t="n">
        <v>0.00708</v>
      </c>
      <c r="S948">
        <f>IMAGE("https://mitra.stanford.edu/kundaje/oak/projects/neuro-variants/variant_position/credible/roussos_2024/variant_figures/roussos_2024.infant.GLU/rs57416942_count_position.png",4,220,900)</f>
        <v/>
      </c>
      <c r="T948">
        <f>IMAGE("https://mitra.stanford.edu/kundaje/oak/projects/neuro-variants/variant_position/credible/roussos_2024/variant_figures/roussos_2024.infant.GLU/rs57416942_profile_position.png",4,220,900)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0.0726269876</v>
      </c>
      <c r="G949" t="n">
        <v>0.0994040695112406</v>
      </c>
      <c r="H949" t="n">
        <v>0.0142163512394794</v>
      </c>
      <c r="I949" t="n">
        <v>0.4064305935193266</v>
      </c>
      <c r="J949" t="n">
        <v>0.0014230913379924</v>
      </c>
      <c r="K949" t="n">
        <v>0.8759781187916635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0.02313</v>
      </c>
      <c r="Q949" t="n">
        <v>-70</v>
      </c>
      <c r="R949" t="n">
        <v>0.05676</v>
      </c>
      <c r="S949">
        <f>IMAGE("https://mitra.stanford.edu/kundaje/oak/projects/neuro-variants/variant_position/credible/roussos_2024/variant_figures/roussos_2024.infant.GLU/rs75225286_count_position.png",4,220,900)</f>
        <v/>
      </c>
      <c r="T949">
        <f>IMAGE("https://mitra.stanford.edu/kundaje/oak/projects/neuro-variants/variant_position/credible/roussos_2024/variant_figures/roussos_2024.infant.GLU/rs75225286_profile_position.png",4,220,900)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0.1938737719999999</v>
      </c>
      <c r="G950" t="n">
        <v>0.0109620610407228</v>
      </c>
      <c r="H950" t="n">
        <v>0.024289835781677</v>
      </c>
      <c r="I950" t="n">
        <v>0.1097605016804083</v>
      </c>
      <c r="J950" t="n">
        <v>0.2507187107299543</v>
      </c>
      <c r="K950" t="n">
        <v>0.08626076845229699</v>
      </c>
      <c r="L950" t="b">
        <v>1</v>
      </c>
      <c r="M950" t="b">
        <v>0</v>
      </c>
      <c r="N950" t="inlineStr">
        <is>
          <t>alt</t>
        </is>
      </c>
      <c r="O950" t="n">
        <v>-100</v>
      </c>
      <c r="P950" t="n">
        <v>0.006226</v>
      </c>
      <c r="Q950" t="n">
        <v>75</v>
      </c>
      <c r="R950" t="n">
        <v>0.01929</v>
      </c>
      <c r="S950">
        <f>IMAGE("https://mitra.stanford.edu/kundaje/oak/projects/neuro-variants/variant_position/credible/roussos_2024/variant_figures/roussos_2024.infant.GLU/rs10846519_count_position.png",4,220,900)</f>
        <v/>
      </c>
      <c r="T950">
        <f>IMAGE("https://mitra.stanford.edu/kundaje/oak/projects/neuro-variants/variant_position/credible/roussos_2024/variant_figures/roussos_2024.infant.GLU/rs10846519_profile_position.png",4,220,900)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0.00689780198</v>
      </c>
      <c r="G951" t="n">
        <v>0.687460364611589</v>
      </c>
      <c r="H951" t="n">
        <v>0.0077158359815119</v>
      </c>
      <c r="I951" t="n">
        <v>0.9169912477667788</v>
      </c>
      <c r="J951" t="n">
        <v>0.06440287484291971</v>
      </c>
      <c r="K951" t="n">
        <v>0.2950402898483178</v>
      </c>
      <c r="L951" t="b">
        <v>0</v>
      </c>
      <c r="M951" t="b">
        <v>0</v>
      </c>
      <c r="N951" t="inlineStr">
        <is>
          <t>alt</t>
        </is>
      </c>
      <c r="O951" t="n">
        <v>100</v>
      </c>
      <c r="P951" t="n">
        <v>0.03436</v>
      </c>
      <c r="Q951" t="n">
        <v>-65</v>
      </c>
      <c r="R951" t="n">
        <v>0.05283</v>
      </c>
      <c r="S951">
        <f>IMAGE("https://mitra.stanford.edu/kundaje/oak/projects/neuro-variants/variant_position/credible/roussos_2024/variant_figures/roussos_2024.infant.GLU/rs7486223_count_position.png",4,220,900)</f>
        <v/>
      </c>
      <c r="T951">
        <f>IMAGE("https://mitra.stanford.edu/kundaje/oak/projects/neuro-variants/variant_position/credible/roussos_2024/variant_figures/roussos_2024.infant.GLU/rs7486223_profile_position.png",4,220,900)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0.0281944641999999</v>
      </c>
      <c r="G952" t="n">
        <v>0.3306469568981876</v>
      </c>
      <c r="H952" t="n">
        <v>0.0462400681519725</v>
      </c>
      <c r="I952" t="n">
        <v>0.0109300703597606</v>
      </c>
      <c r="J952" t="n">
        <v>0.0304360766330826</v>
      </c>
      <c r="K952" t="n">
        <v>0.4492168834330101</v>
      </c>
      <c r="L952" t="b">
        <v>1</v>
      </c>
      <c r="M952" t="b">
        <v>0</v>
      </c>
      <c r="N952" t="inlineStr">
        <is>
          <t>alt</t>
        </is>
      </c>
      <c r="O952" t="n">
        <v>60</v>
      </c>
      <c r="P952" t="n">
        <v>0.02902</v>
      </c>
      <c r="Q952" t="n">
        <v>100</v>
      </c>
      <c r="R952" t="n">
        <v>0.05063</v>
      </c>
      <c r="S952">
        <f>IMAGE("https://mitra.stanford.edu/kundaje/oak/projects/neuro-variants/variant_position/credible/roussos_2024/variant_figures/roussos_2024.infant.GLU/rs7952835_count_position.png",4,220,900)</f>
        <v/>
      </c>
      <c r="T952">
        <f>IMAGE("https://mitra.stanford.edu/kundaje/oak/projects/neuro-variants/variant_position/credible/roussos_2024/variant_figures/roussos_2024.infant.GLU/rs7952835_profile_position.png",4,220,900)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0.06380184060000001</v>
      </c>
      <c r="G953" t="n">
        <v>0.1132046592126405</v>
      </c>
      <c r="H953" t="n">
        <v>0.013766065135477</v>
      </c>
      <c r="I953" t="n">
        <v>0.4319137719152549</v>
      </c>
      <c r="J953" t="n">
        <v>0.1026279238960294</v>
      </c>
      <c r="K953" t="n">
        <v>0.2066331521259776</v>
      </c>
      <c r="L953" t="b">
        <v>0</v>
      </c>
      <c r="M953" t="b">
        <v>0</v>
      </c>
      <c r="N953" t="inlineStr">
        <is>
          <t>alt</t>
        </is>
      </c>
      <c r="O953" t="n">
        <v>90</v>
      </c>
      <c r="P953" t="n">
        <v>0.01123</v>
      </c>
      <c r="Q953" t="n">
        <v>-5</v>
      </c>
      <c r="R953" t="n">
        <v>0.003296</v>
      </c>
      <c r="S953">
        <f>IMAGE("https://mitra.stanford.edu/kundaje/oak/projects/neuro-variants/variant_position/credible/roussos_2024/variant_figures/roussos_2024.infant.GLU/rs7962723_count_position.png",4,220,900)</f>
        <v/>
      </c>
      <c r="T953">
        <f>IMAGE("https://mitra.stanford.edu/kundaje/oak/projects/neuro-variants/variant_position/credible/roussos_2024/variant_figures/roussos_2024.infant.GLU/rs7962723_profile_position.png",4,220,900)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0.0890263258</v>
      </c>
      <c r="G954" t="n">
        <v>0.0632632023674768</v>
      </c>
      <c r="H954" t="n">
        <v>0.0159654920555995</v>
      </c>
      <c r="I954" t="n">
        <v>0.3227790199257918</v>
      </c>
      <c r="J954" t="n">
        <v>0.08069181419343451</v>
      </c>
      <c r="K954" t="n">
        <v>0.2466028564643568</v>
      </c>
      <c r="L954" t="b">
        <v>0</v>
      </c>
      <c r="M954" t="b">
        <v>0</v>
      </c>
      <c r="N954" t="inlineStr">
        <is>
          <t>alt</t>
        </is>
      </c>
      <c r="O954" t="n">
        <v>-10</v>
      </c>
      <c r="P954" t="n">
        <v>0.012695</v>
      </c>
      <c r="Q954" t="n">
        <v>30</v>
      </c>
      <c r="R954" t="n">
        <v>0.02235</v>
      </c>
      <c r="S954">
        <f>IMAGE("https://mitra.stanford.edu/kundaje/oak/projects/neuro-variants/variant_position/credible/roussos_2024/variant_figures/roussos_2024.infant.GLU/rs10773011_count_position.png",4,220,900)</f>
        <v/>
      </c>
      <c r="T954">
        <f>IMAGE("https://mitra.stanford.edu/kundaje/oak/projects/neuro-variants/variant_position/credible/roussos_2024/variant_figures/roussos_2024.infant.GLU/rs10773011_profile_position.png",4,220,900)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0.0176655269</v>
      </c>
      <c r="G955" t="n">
        <v>0.4967283687750358</v>
      </c>
      <c r="H955" t="n">
        <v>0.0218487992960062</v>
      </c>
      <c r="I955" t="n">
        <v>0.146777983673423</v>
      </c>
      <c r="J955" t="n">
        <v>0.1359818338146784</v>
      </c>
      <c r="K955" t="n">
        <v>0.1576055508768989</v>
      </c>
      <c r="L955" t="b">
        <v>0</v>
      </c>
      <c r="M955" t="b">
        <v>0</v>
      </c>
      <c r="N955" t="inlineStr">
        <is>
          <t>alt</t>
        </is>
      </c>
      <c r="O955" t="n">
        <v>20</v>
      </c>
      <c r="P955" t="n">
        <v>0.00755</v>
      </c>
      <c r="Q955" t="n">
        <v>85</v>
      </c>
      <c r="R955" t="n">
        <v>0.0946</v>
      </c>
      <c r="S955">
        <f>IMAGE("https://mitra.stanford.edu/kundaje/oak/projects/neuro-variants/variant_position/credible/roussos_2024/variant_figures/roussos_2024.infant.GLU/rs9300256_count_position.png",4,220,900)</f>
        <v/>
      </c>
      <c r="T955">
        <f>IMAGE("https://mitra.stanford.edu/kundaje/oak/projects/neuro-variants/variant_position/credible/roussos_2024/variant_figures/roussos_2024.infant.GLU/rs9300256_profile_position.png",4,220,900)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0.0160417218</v>
      </c>
      <c r="G956" t="n">
        <v>0.4987011139965905</v>
      </c>
      <c r="H956" t="n">
        <v>0.0114132564462362</v>
      </c>
      <c r="I956" t="n">
        <v>0.6056809259304589</v>
      </c>
      <c r="J956" t="n">
        <v>0.005894089375868</v>
      </c>
      <c r="K956" t="n">
        <v>0.7346586036845876</v>
      </c>
      <c r="L956" t="b">
        <v>0</v>
      </c>
      <c r="M956" t="b">
        <v>0</v>
      </c>
      <c r="N956" t="inlineStr">
        <is>
          <t>alt</t>
        </is>
      </c>
      <c r="O956" t="n">
        <v>-5</v>
      </c>
      <c r="P956" t="n">
        <v>0.001221</v>
      </c>
      <c r="Q956" t="n">
        <v>-5</v>
      </c>
      <c r="R956" t="n">
        <v>0.005463</v>
      </c>
      <c r="S956">
        <f>IMAGE("https://mitra.stanford.edu/kundaje/oak/projects/neuro-variants/variant_position/credible/roussos_2024/variant_figures/roussos_2024.infant.GLU/rs10773016_count_position.png",4,220,900)</f>
        <v/>
      </c>
      <c r="T956">
        <f>IMAGE("https://mitra.stanford.edu/kundaje/oak/projects/neuro-variants/variant_position/credible/roussos_2024/variant_figures/roussos_2024.infant.GLU/rs10773016_profile_position.png",4,220,900)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0.055935071</v>
      </c>
      <c r="G957" t="n">
        <v>0.1636046466225276</v>
      </c>
      <c r="H957" t="n">
        <v>0.0136652939430035</v>
      </c>
      <c r="I957" t="n">
        <v>0.4436624853049524</v>
      </c>
      <c r="J957" t="n">
        <v>0.2168599395930244</v>
      </c>
      <c r="K957" t="n">
        <v>0.1064006497717444</v>
      </c>
      <c r="L957" t="b">
        <v>0</v>
      </c>
      <c r="M957" t="b">
        <v>0</v>
      </c>
      <c r="N957" t="inlineStr">
        <is>
          <t>alt</t>
        </is>
      </c>
      <c r="O957" t="n">
        <v>-70</v>
      </c>
      <c r="P957" t="n">
        <v>0.001129</v>
      </c>
      <c r="Q957" t="n">
        <v>-70</v>
      </c>
      <c r="R957" t="n">
        <v>0.10913</v>
      </c>
      <c r="S957">
        <f>IMAGE("https://mitra.stanford.edu/kundaje/oak/projects/neuro-variants/variant_position/credible/roussos_2024/variant_figures/roussos_2024.infant.GLU/rs4930723_count_position.png",4,220,900)</f>
        <v/>
      </c>
      <c r="T957">
        <f>IMAGE("https://mitra.stanford.edu/kundaje/oak/projects/neuro-variants/variant_position/credible/roussos_2024/variant_figures/roussos_2024.infant.GLU/rs4930723_profile_position.png",4,220,900)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-0.001116776146</v>
      </c>
      <c r="G958" t="n">
        <v>0.8936613601811247</v>
      </c>
      <c r="H958" t="n">
        <v>0.0151425149653308</v>
      </c>
      <c r="I958" t="n">
        <v>0.353422298989088</v>
      </c>
      <c r="J958" t="n">
        <v>0.261303159240724</v>
      </c>
      <c r="K958" t="n">
        <v>0.07993283657584151</v>
      </c>
      <c r="L958" t="b">
        <v>0</v>
      </c>
      <c r="M958" t="b">
        <v>0</v>
      </c>
      <c r="N958" t="inlineStr">
        <is>
          <t>ref</t>
        </is>
      </c>
      <c r="O958" t="n">
        <v>100</v>
      </c>
      <c r="P958" t="n">
        <v>0.01826</v>
      </c>
      <c r="Q958" t="n">
        <v>-85</v>
      </c>
      <c r="R958" t="n">
        <v>0.03162</v>
      </c>
      <c r="S958">
        <f>IMAGE("https://mitra.stanford.edu/kundaje/oak/projects/neuro-variants/variant_position/credible/roussos_2024/variant_figures/roussos_2024.infant.GLU/rs4930726_count_position.png",4,220,900)</f>
        <v/>
      </c>
      <c r="T958">
        <f>IMAGE("https://mitra.stanford.edu/kundaje/oak/projects/neuro-variants/variant_position/credible/roussos_2024/variant_figures/roussos_2024.infant.GLU/rs4930726_profile_position.png",4,220,900)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-0.0668022443999999</v>
      </c>
      <c r="G959" t="n">
        <v>0.1211048142939704</v>
      </c>
      <c r="H959" t="n">
        <v>0.0295295627505996</v>
      </c>
      <c r="I959" t="n">
        <v>0.0609496442048767</v>
      </c>
      <c r="J959" t="n">
        <v>0.513244339601843</v>
      </c>
      <c r="K959" t="n">
        <v>0.0293878557683532</v>
      </c>
      <c r="L959" t="b">
        <v>0</v>
      </c>
      <c r="M959" t="b">
        <v>0</v>
      </c>
      <c r="N959" t="inlineStr">
        <is>
          <t>ref</t>
        </is>
      </c>
      <c r="O959" t="n">
        <v>100</v>
      </c>
      <c r="P959" t="n">
        <v>0.00238</v>
      </c>
      <c r="Q959" t="n">
        <v>20</v>
      </c>
      <c r="R959" t="n">
        <v>0.03613</v>
      </c>
      <c r="S959">
        <f>IMAGE("https://mitra.stanford.edu/kundaje/oak/projects/neuro-variants/variant_position/credible/roussos_2024/variant_figures/roussos_2024.infant.GLU/rs7312404_count_position.png",4,220,900)</f>
        <v/>
      </c>
      <c r="T959">
        <f>IMAGE("https://mitra.stanford.edu/kundaje/oak/projects/neuro-variants/variant_position/credible/roussos_2024/variant_figures/roussos_2024.infant.GLU/rs7312404_profile_position.png",4,220,900)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-0.0425919206</v>
      </c>
      <c r="G960" t="n">
        <v>0.1986037810659789</v>
      </c>
      <c r="H960" t="n">
        <v>0.0428267503230924</v>
      </c>
      <c r="I960" t="n">
        <v>0.0152999210745321</v>
      </c>
      <c r="J960" t="n">
        <v>0.5165292444718799</v>
      </c>
      <c r="K960" t="n">
        <v>0.0290868532436869</v>
      </c>
      <c r="L960" t="b">
        <v>1</v>
      </c>
      <c r="M960" t="b">
        <v>0</v>
      </c>
      <c r="N960" t="inlineStr">
        <is>
          <t>ref</t>
        </is>
      </c>
      <c r="O960" t="n">
        <v>100</v>
      </c>
      <c r="P960" t="n">
        <v>0.009520000000000001</v>
      </c>
      <c r="Q960" t="n">
        <v>-50</v>
      </c>
      <c r="R960" t="n">
        <v>0.0752</v>
      </c>
      <c r="S960">
        <f>IMAGE("https://mitra.stanford.edu/kundaje/oak/projects/neuro-variants/variant_position/credible/roussos_2024/variant_figures/roussos_2024.infant.GLU/rs7134121_count_position.png",4,220,900)</f>
        <v/>
      </c>
      <c r="T960">
        <f>IMAGE("https://mitra.stanford.edu/kundaje/oak/projects/neuro-variants/variant_position/credible/roussos_2024/variant_figures/roussos_2024.infant.GLU/rs7134121_profile_position.png",4,220,900)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-0.07068327100000001</v>
      </c>
      <c r="G961" t="n">
        <v>0.0994131105208613</v>
      </c>
      <c r="H961" t="n">
        <v>0.0140839969472922</v>
      </c>
      <c r="I961" t="n">
        <v>0.4120541508320249</v>
      </c>
      <c r="J961" t="n">
        <v>0.0752706188408033</v>
      </c>
      <c r="K961" t="n">
        <v>0.2580763722396285</v>
      </c>
      <c r="L961" t="b">
        <v>0</v>
      </c>
      <c r="M961" t="b">
        <v>0</v>
      </c>
      <c r="N961" t="inlineStr">
        <is>
          <t>ref</t>
        </is>
      </c>
      <c r="O961" t="n">
        <v>45</v>
      </c>
      <c r="P961" t="n">
        <v>0.004112</v>
      </c>
      <c r="Q961" t="n">
        <v>-95</v>
      </c>
      <c r="R961" t="n">
        <v>0.06934</v>
      </c>
      <c r="S961">
        <f>IMAGE("https://mitra.stanford.edu/kundaje/oak/projects/neuro-variants/variant_position/credible/roussos_2024/variant_figures/roussos_2024.infant.GLU/rs35099862_count_position.png",4,220,900)</f>
        <v/>
      </c>
      <c r="T961">
        <f>IMAGE("https://mitra.stanford.edu/kundaje/oak/projects/neuro-variants/variant_position/credible/roussos_2024/variant_figures/roussos_2024.infant.GLU/rs35099862_profile_position.png",4,220,900)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-0.150744256</v>
      </c>
      <c r="G962" t="n">
        <v>0.0213247512825357</v>
      </c>
      <c r="H962" t="n">
        <v>0.0343947967116709</v>
      </c>
      <c r="I962" t="n">
        <v>0.0372368247551558</v>
      </c>
      <c r="J962" t="n">
        <v>0.1195958905619612</v>
      </c>
      <c r="K962" t="n">
        <v>0.1823465400778731</v>
      </c>
      <c r="L962" t="b">
        <v>0</v>
      </c>
      <c r="M962" t="b">
        <v>0</v>
      </c>
      <c r="N962" t="inlineStr">
        <is>
          <t>ref</t>
        </is>
      </c>
      <c r="O962" t="n">
        <v>-90</v>
      </c>
      <c r="P962" t="n">
        <v>0.007523</v>
      </c>
      <c r="Q962" t="n">
        <v>90</v>
      </c>
      <c r="R962" t="n">
        <v>0.0282</v>
      </c>
      <c r="S962">
        <f>IMAGE("https://mitra.stanford.edu/kundaje/oak/projects/neuro-variants/variant_position/credible/roussos_2024/variant_figures/roussos_2024.infant.GLU/rs7978610_count_position.png",4,220,900)</f>
        <v/>
      </c>
      <c r="T962">
        <f>IMAGE("https://mitra.stanford.edu/kundaje/oak/projects/neuro-variants/variant_position/credible/roussos_2024/variant_figures/roussos_2024.infant.GLU/rs7978610_profile_position.png",4,220,900)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0.0304228475999999</v>
      </c>
      <c r="G963" t="n">
        <v>0.3083915755008206</v>
      </c>
      <c r="H963" t="n">
        <v>0.0525478342316774</v>
      </c>
      <c r="I963" t="n">
        <v>0.006044321619905</v>
      </c>
      <c r="J963" t="n">
        <v>0.1580932119314799</v>
      </c>
      <c r="K963" t="n">
        <v>0.1368364100218871</v>
      </c>
      <c r="L963" t="b">
        <v>1</v>
      </c>
      <c r="M963" t="b">
        <v>1</v>
      </c>
      <c r="N963" t="inlineStr">
        <is>
          <t>alt</t>
        </is>
      </c>
      <c r="O963" t="n">
        <v>80</v>
      </c>
      <c r="P963" t="n">
        <v>0.012726</v>
      </c>
      <c r="Q963" t="n">
        <v>-60</v>
      </c>
      <c r="R963" t="n">
        <v>0.05826</v>
      </c>
      <c r="S963">
        <f>IMAGE("https://mitra.stanford.edu/kundaje/oak/projects/neuro-variants/variant_position/credible/roussos_2024/variant_figures/roussos_2024.infant.GLU/rs11837287_count_position.png",4,220,900)</f>
        <v/>
      </c>
      <c r="T963">
        <f>IMAGE("https://mitra.stanford.edu/kundaje/oak/projects/neuro-variants/variant_position/credible/roussos_2024/variant_figures/roussos_2024.infant.GLU/rs11837287_profile_position.png",4,220,900)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0.0012316822</v>
      </c>
      <c r="G964" t="n">
        <v>0.8331861905580739</v>
      </c>
      <c r="H964" t="n">
        <v>0.01252011973275</v>
      </c>
      <c r="I964" t="n">
        <v>0.5199692579777561</v>
      </c>
      <c r="J964" t="n">
        <v>0.0147115236226547</v>
      </c>
      <c r="K964" t="n">
        <v>0.5941081141115261</v>
      </c>
      <c r="L964" t="b">
        <v>0</v>
      </c>
      <c r="M964" t="b">
        <v>0</v>
      </c>
      <c r="N964" t="inlineStr">
        <is>
          <t>alt</t>
        </is>
      </c>
      <c r="O964" t="n">
        <v>-40</v>
      </c>
      <c r="P964" t="n">
        <v>0.001815</v>
      </c>
      <c r="Q964" t="n">
        <v>45</v>
      </c>
      <c r="R964" t="n">
        <v>0.03357</v>
      </c>
      <c r="S964">
        <f>IMAGE("https://mitra.stanford.edu/kundaje/oak/projects/neuro-variants/variant_position/credible/roussos_2024/variant_figures/roussos_2024.infant.GLU/rs7307277_count_position.png",4,220,900)</f>
        <v/>
      </c>
      <c r="T964">
        <f>IMAGE("https://mitra.stanford.edu/kundaje/oak/projects/neuro-variants/variant_position/credible/roussos_2024/variant_figures/roussos_2024.infant.GLU/rs7307277_profile_position.png",4,220,900)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-0.175809652</v>
      </c>
      <c r="G965" t="n">
        <v>0.0146937921561293</v>
      </c>
      <c r="H965" t="n">
        <v>0.0318528733599321</v>
      </c>
      <c r="I965" t="n">
        <v>0.0498909170389639</v>
      </c>
      <c r="J965" t="n">
        <v>0.08687030137348691</v>
      </c>
      <c r="K965" t="n">
        <v>0.2416457489634219</v>
      </c>
      <c r="L965" t="b">
        <v>1</v>
      </c>
      <c r="M965" t="b">
        <v>0</v>
      </c>
      <c r="N965" t="inlineStr">
        <is>
          <t>ref</t>
        </is>
      </c>
      <c r="O965" t="n">
        <v>50</v>
      </c>
      <c r="P965" t="n">
        <v>0.01671</v>
      </c>
      <c r="Q965" t="n">
        <v>35</v>
      </c>
      <c r="R965" t="n">
        <v>0.0757</v>
      </c>
      <c r="S965">
        <f>IMAGE("https://mitra.stanford.edu/kundaje/oak/projects/neuro-variants/variant_position/credible/roussos_2024/variant_figures/roussos_2024.infant.GLU/rs12833624_count_position.png",4,220,900)</f>
        <v/>
      </c>
      <c r="T965">
        <f>IMAGE("https://mitra.stanford.edu/kundaje/oak/projects/neuro-variants/variant_position/credible/roussos_2024/variant_figures/roussos_2024.infant.GLU/rs12833624_profile_position.png",4,220,900)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-0.0093901056</v>
      </c>
      <c r="G966" t="n">
        <v>0.6244559622426247</v>
      </c>
      <c r="H966" t="n">
        <v>0.0112467875360029</v>
      </c>
      <c r="I966" t="n">
        <v>0.6226038062275148</v>
      </c>
      <c r="J966" t="n">
        <v>0.1319231023611631</v>
      </c>
      <c r="K966" t="n">
        <v>0.1630479398187162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0.076</v>
      </c>
      <c r="Q966" t="n">
        <v>-100</v>
      </c>
      <c r="R966" t="n">
        <v>0.2236</v>
      </c>
      <c r="S966">
        <f>IMAGE("https://mitra.stanford.edu/kundaje/oak/projects/neuro-variants/variant_position/credible/roussos_2024/variant_figures/roussos_2024.infant.GLU/rs34114498_count_position.png",4,220,900)</f>
        <v/>
      </c>
      <c r="T966">
        <f>IMAGE("https://mitra.stanford.edu/kundaje/oak/projects/neuro-variants/variant_position/credible/roussos_2024/variant_figures/roussos_2024.infant.GLU/rs34114498_profile_position.png",4,220,900)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-0.1554086449999999</v>
      </c>
      <c r="G967" t="n">
        <v>0.019451301631571</v>
      </c>
      <c r="H967" t="n">
        <v>0.0361791293091053</v>
      </c>
      <c r="I967" t="n">
        <v>0.0299322908272809</v>
      </c>
      <c r="J967" t="n">
        <v>0.1310390440706364</v>
      </c>
      <c r="K967" t="n">
        <v>0.1646370040663039</v>
      </c>
      <c r="L967" t="b">
        <v>1</v>
      </c>
      <c r="M967" t="b">
        <v>0</v>
      </c>
      <c r="N967" t="inlineStr">
        <is>
          <t>ref</t>
        </is>
      </c>
      <c r="O967" t="n">
        <v>-100</v>
      </c>
      <c r="P967" t="n">
        <v>0.01334</v>
      </c>
      <c r="Q967" t="n">
        <v>-45</v>
      </c>
      <c r="R967" t="n">
        <v>0.1337</v>
      </c>
      <c r="S967">
        <f>IMAGE("https://mitra.stanford.edu/kundaje/oak/projects/neuro-variants/variant_position/credible/roussos_2024/variant_figures/roussos_2024.infant.GLU/rs12303671_count_position.png",4,220,900)</f>
        <v/>
      </c>
      <c r="T967">
        <f>IMAGE("https://mitra.stanford.edu/kundaje/oak/projects/neuro-variants/variant_position/credible/roussos_2024/variant_figures/roussos_2024.infant.GLU/rs12303671_profile_position.png",4,220,900)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-0.0592185598</v>
      </c>
      <c r="G968" t="n">
        <v>0.1326388857906322</v>
      </c>
      <c r="H968" t="n">
        <v>0.0100144607315436</v>
      </c>
      <c r="I968" t="n">
        <v>0.7374910101994367</v>
      </c>
      <c r="J968" t="n">
        <v>0.2366388147886858</v>
      </c>
      <c r="K968" t="n">
        <v>0.0907329779270766</v>
      </c>
      <c r="L968" t="b">
        <v>0</v>
      </c>
      <c r="M968" t="b">
        <v>0</v>
      </c>
      <c r="N968" t="inlineStr">
        <is>
          <t>ref</t>
        </is>
      </c>
      <c r="O968" t="n">
        <v>-100</v>
      </c>
      <c r="P968" t="n">
        <v>0.02774</v>
      </c>
      <c r="Q968" t="n">
        <v>35</v>
      </c>
      <c r="R968" t="n">
        <v>0.02295</v>
      </c>
      <c r="S968">
        <f>IMAGE("https://mitra.stanford.edu/kundaje/oak/projects/neuro-variants/variant_position/credible/roussos_2024/variant_figures/roussos_2024.infant.GLU/rs7992065_count_position.png",4,220,900)</f>
        <v/>
      </c>
      <c r="T968">
        <f>IMAGE("https://mitra.stanford.edu/kundaje/oak/projects/neuro-variants/variant_position/credible/roussos_2024/variant_figures/roussos_2024.infant.GLU/rs7992065_profile_position.png",4,220,900)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0.0161650928</v>
      </c>
      <c r="G969" t="n">
        <v>0.4733660062409047</v>
      </c>
      <c r="H969" t="n">
        <v>0.0324741322056629</v>
      </c>
      <c r="I969" t="n">
        <v>0.044154525498871</v>
      </c>
      <c r="J969" t="n">
        <v>0.0026918582861173</v>
      </c>
      <c r="K969" t="n">
        <v>0.8166519675722401</v>
      </c>
      <c r="L969" t="b">
        <v>0</v>
      </c>
      <c r="M969" t="b">
        <v>0</v>
      </c>
      <c r="N969" t="inlineStr">
        <is>
          <t>alt</t>
        </is>
      </c>
      <c r="O969" t="n">
        <v>-60</v>
      </c>
      <c r="P969" t="n">
        <v>0.04364</v>
      </c>
      <c r="Q969" t="n">
        <v>10</v>
      </c>
      <c r="R969" t="n">
        <v>0.01503</v>
      </c>
      <c r="S969">
        <f>IMAGE("https://mitra.stanford.edu/kundaje/oak/projects/neuro-variants/variant_position/credible/roussos_2024/variant_figures/roussos_2024.infant.GLU/rs9567419_count_position.png",4,220,900)</f>
        <v/>
      </c>
      <c r="T969">
        <f>IMAGE("https://mitra.stanford.edu/kundaje/oak/projects/neuro-variants/variant_position/credible/roussos_2024/variant_figures/roussos_2024.infant.GLU/rs9567419_profile_position.png",4,220,900)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0.023717501</v>
      </c>
      <c r="G970" t="n">
        <v>0.3806224836766166</v>
      </c>
      <c r="H970" t="n">
        <v>0.008561416630514299</v>
      </c>
      <c r="I970" t="n">
        <v>0.8609908875575287</v>
      </c>
      <c r="J970" t="n">
        <v>0.0034943451134283</v>
      </c>
      <c r="K970" t="n">
        <v>0.791364904436235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0.0404</v>
      </c>
      <c r="Q970" t="n">
        <v>-80</v>
      </c>
      <c r="R970" t="n">
        <v>0.0696</v>
      </c>
      <c r="S970">
        <f>IMAGE("https://mitra.stanford.edu/kundaje/oak/projects/neuro-variants/variant_position/credible/roussos_2024/variant_figures/roussos_2024.infant.GLU/rs9567420_count_position.png",4,220,900)</f>
        <v/>
      </c>
      <c r="T970">
        <f>IMAGE("https://mitra.stanford.edu/kundaje/oak/projects/neuro-variants/variant_position/credible/roussos_2024/variant_figures/roussos_2024.infant.GLU/rs9567420_profile_position.png",4,220,900)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-0.03699411298</v>
      </c>
      <c r="G971" t="n">
        <v>0.3590596872384674</v>
      </c>
      <c r="H971" t="n">
        <v>0.011974029304327</v>
      </c>
      <c r="I971" t="n">
        <v>0.5627038092626454</v>
      </c>
      <c r="J971" t="n">
        <v>0.0127648316761832</v>
      </c>
      <c r="K971" t="n">
        <v>0.6197952731498079</v>
      </c>
      <c r="L971" t="b">
        <v>0</v>
      </c>
      <c r="M971" t="b">
        <v>0</v>
      </c>
      <c r="N971" t="inlineStr">
        <is>
          <t>ref</t>
        </is>
      </c>
      <c r="O971" t="n">
        <v>75</v>
      </c>
      <c r="P971" t="n">
        <v>0.0687</v>
      </c>
      <c r="Q971" t="n">
        <v>-90</v>
      </c>
      <c r="R971" t="n">
        <v>0.06710000000000001</v>
      </c>
      <c r="S971">
        <f>IMAGE("https://mitra.stanford.edu/kundaje/oak/projects/neuro-variants/variant_position/credible/roussos_2024/variant_figures/roussos_2024.infant.GLU/rs61750791_count_position.png",4,220,900)</f>
        <v/>
      </c>
      <c r="T971">
        <f>IMAGE("https://mitra.stanford.edu/kundaje/oak/projects/neuro-variants/variant_position/credible/roussos_2024/variant_figures/roussos_2024.infant.GLU/rs61750791_profile_position.png",4,220,900)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-0.169988041</v>
      </c>
      <c r="G972" t="n">
        <v>0.0198702250030883</v>
      </c>
      <c r="H972" t="n">
        <v>0.03847682245897</v>
      </c>
      <c r="I972" t="n">
        <v>0.0242466592586548</v>
      </c>
      <c r="J972" t="n">
        <v>0.154842478890628</v>
      </c>
      <c r="K972" t="n">
        <v>0.1396652385928813</v>
      </c>
      <c r="L972" t="b">
        <v>1</v>
      </c>
      <c r="M972" t="b">
        <v>0</v>
      </c>
      <c r="N972" t="inlineStr">
        <is>
          <t>ref</t>
        </is>
      </c>
      <c r="O972" t="n">
        <v>-95</v>
      </c>
      <c r="P972" t="n">
        <v>0.007763</v>
      </c>
      <c r="Q972" t="n">
        <v>75</v>
      </c>
      <c r="R972" t="n">
        <v>0.1345</v>
      </c>
      <c r="S972">
        <f>IMAGE("https://mitra.stanford.edu/kundaje/oak/projects/neuro-variants/variant_position/credible/roussos_2024/variant_figures/roussos_2024.infant.GLU/rs4512969_count_position.png",4,220,900)</f>
        <v/>
      </c>
      <c r="T972">
        <f>IMAGE("https://mitra.stanford.edu/kundaje/oak/projects/neuro-variants/variant_position/credible/roussos_2024/variant_figures/roussos_2024.infant.GLU/rs4512969_profile_position.png",4,220,900)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-0.067345104</v>
      </c>
      <c r="G973" t="n">
        <v>0.106423324099073</v>
      </c>
      <c r="H973" t="n">
        <v>0.0087953779956783</v>
      </c>
      <c r="I973" t="n">
        <v>0.8471147017026388</v>
      </c>
      <c r="J973" t="n">
        <v>0.0999779536585903</v>
      </c>
      <c r="K973" t="n">
        <v>0.2074543627292275</v>
      </c>
      <c r="L973" t="b">
        <v>0</v>
      </c>
      <c r="M973" t="b">
        <v>0</v>
      </c>
      <c r="N973" t="inlineStr">
        <is>
          <t>ref</t>
        </is>
      </c>
      <c r="O973" t="n">
        <v>20</v>
      </c>
      <c r="P973" t="n">
        <v>0.001678</v>
      </c>
      <c r="Q973" t="n">
        <v>30</v>
      </c>
      <c r="R973" t="n">
        <v>0.11475</v>
      </c>
      <c r="S973">
        <f>IMAGE("https://mitra.stanford.edu/kundaje/oak/projects/neuro-variants/variant_position/credible/roussos_2024/variant_figures/roussos_2024.infant.GLU/rs17258158_count_position.png",4,220,900)</f>
        <v/>
      </c>
      <c r="T973">
        <f>IMAGE("https://mitra.stanford.edu/kundaje/oak/projects/neuro-variants/variant_position/credible/roussos_2024/variant_figures/roussos_2024.infant.GLU/rs17258158_profile_position.png",4,220,900)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0.0331214134</v>
      </c>
      <c r="G974" t="n">
        <v>0.2778508511780931</v>
      </c>
      <c r="H974" t="n">
        <v>0.058058034397891</v>
      </c>
      <c r="I974" t="n">
        <v>0.0036253120352821</v>
      </c>
      <c r="J974" t="n">
        <v>0.0230770078705438</v>
      </c>
      <c r="K974" t="n">
        <v>0.5095743204591019</v>
      </c>
      <c r="L974" t="b">
        <v>1</v>
      </c>
      <c r="M974" t="b">
        <v>0</v>
      </c>
      <c r="N974" t="inlineStr">
        <is>
          <t>alt</t>
        </is>
      </c>
      <c r="O974" t="n">
        <v>-10</v>
      </c>
      <c r="P974" t="n">
        <v>0.004517</v>
      </c>
      <c r="Q974" t="n">
        <v>100</v>
      </c>
      <c r="R974" t="n">
        <v>0.053</v>
      </c>
      <c r="S974">
        <f>IMAGE("https://mitra.stanford.edu/kundaje/oak/projects/neuro-variants/variant_position/credible/roussos_2024/variant_figures/roussos_2024.infant.GLU/rs73184532_count_position.png",4,220,900)</f>
        <v/>
      </c>
      <c r="T974">
        <f>IMAGE("https://mitra.stanford.edu/kundaje/oak/projects/neuro-variants/variant_position/credible/roussos_2024/variant_figures/roussos_2024.infant.GLU/rs73184532_profile_position.png",4,220,900)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-0.365420572</v>
      </c>
      <c r="G975" t="n">
        <v>0.0015408488126163</v>
      </c>
      <c r="H975" t="n">
        <v>0.07012821744827551</v>
      </c>
      <c r="I975" t="n">
        <v>0.0013661940009137</v>
      </c>
      <c r="J975" t="n">
        <v>0.0818249961418902</v>
      </c>
      <c r="K975" t="n">
        <v>0.2462077744177304</v>
      </c>
      <c r="L975" t="b">
        <v>1</v>
      </c>
      <c r="M975" t="b">
        <v>1</v>
      </c>
      <c r="N975" t="inlineStr">
        <is>
          <t>ref</t>
        </is>
      </c>
      <c r="O975" t="n">
        <v>55</v>
      </c>
      <c r="P975" t="n">
        <v>0.01266</v>
      </c>
      <c r="Q975" t="n">
        <v>55</v>
      </c>
      <c r="R975" t="n">
        <v>0.07324</v>
      </c>
      <c r="S975">
        <f>IMAGE("https://mitra.stanford.edu/kundaje/oak/projects/neuro-variants/variant_position/credible/roussos_2024/variant_figures/roussos_2024.infant.GLU/rs73184537_count_position.png",4,220,900)</f>
        <v/>
      </c>
      <c r="T975">
        <f>IMAGE("https://mitra.stanford.edu/kundaje/oak/projects/neuro-variants/variant_position/credible/roussos_2024/variant_figures/roussos_2024.infant.GLU/rs73184537_profile_position.png",4,220,900)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0.0324804126</v>
      </c>
      <c r="G976" t="n">
        <v>0.2838328181399892</v>
      </c>
      <c r="H976" t="n">
        <v>0.0540745059230186</v>
      </c>
      <c r="I976" t="n">
        <v>0.0051515304492038</v>
      </c>
      <c r="J976" t="n">
        <v>0.0106042902180382</v>
      </c>
      <c r="K976" t="n">
        <v>0.6568296395000681</v>
      </c>
      <c r="L976" t="b">
        <v>1</v>
      </c>
      <c r="M976" t="b">
        <v>0</v>
      </c>
      <c r="N976" t="inlineStr">
        <is>
          <t>alt</t>
        </is>
      </c>
      <c r="O976" t="n">
        <v>70</v>
      </c>
      <c r="P976" t="n">
        <v>0.02493</v>
      </c>
      <c r="Q976" t="n">
        <v>100</v>
      </c>
      <c r="R976" t="n">
        <v>0.01242</v>
      </c>
      <c r="S976">
        <f>IMAGE("https://mitra.stanford.edu/kundaje/oak/projects/neuro-variants/variant_position/credible/roussos_2024/variant_figures/roussos_2024.infant.GLU/rs1924300_count_position.png",4,220,900)</f>
        <v/>
      </c>
      <c r="T976">
        <f>IMAGE("https://mitra.stanford.edu/kundaje/oak/projects/neuro-variants/variant_position/credible/roussos_2024/variant_figures/roussos_2024.infant.GLU/rs1924300_profile_position.png",4,220,900)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-0.0017361315539999</v>
      </c>
      <c r="G977" t="n">
        <v>0.8971400717522413</v>
      </c>
      <c r="H977" t="n">
        <v>0.008954469563186801</v>
      </c>
      <c r="I977" t="n">
        <v>0.8258606892497036</v>
      </c>
      <c r="J977" t="n">
        <v>0.0043563570625454</v>
      </c>
      <c r="K977" t="n">
        <v>0.7681980014592041</v>
      </c>
      <c r="L977" t="b">
        <v>0</v>
      </c>
      <c r="M977" t="b">
        <v>0</v>
      </c>
      <c r="N977" t="inlineStr">
        <is>
          <t>ref</t>
        </is>
      </c>
      <c r="O977" t="n">
        <v>-40</v>
      </c>
      <c r="P977" t="n">
        <v>0.01709</v>
      </c>
      <c r="Q977" t="n">
        <v>100</v>
      </c>
      <c r="R977" t="n">
        <v>0.1218</v>
      </c>
      <c r="S977">
        <f>IMAGE("https://mitra.stanford.edu/kundaje/oak/projects/neuro-variants/variant_position/credible/roussos_2024/variant_figures/roussos_2024.infant.GLU/rs12858218_count_position.png",4,220,900)</f>
        <v/>
      </c>
      <c r="T977">
        <f>IMAGE("https://mitra.stanford.edu/kundaje/oak/projects/neuro-variants/variant_position/credible/roussos_2024/variant_figures/roussos_2024.infant.GLU/rs12858218_profile_position.png",4,220,900)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0.0673548544</v>
      </c>
      <c r="G978" t="n">
        <v>0.1068448687155227</v>
      </c>
      <c r="H978" t="n">
        <v>0.0384830896795995</v>
      </c>
      <c r="I978" t="n">
        <v>0.0236195455776554</v>
      </c>
      <c r="J978" t="n">
        <v>0.0115864547278378</v>
      </c>
      <c r="K978" t="n">
        <v>0.6407206449529359</v>
      </c>
      <c r="L978" t="b">
        <v>0</v>
      </c>
      <c r="M978" t="b">
        <v>0</v>
      </c>
      <c r="N978" t="inlineStr">
        <is>
          <t>alt</t>
        </is>
      </c>
      <c r="O978" t="n">
        <v>-35</v>
      </c>
      <c r="P978" t="n">
        <v>0.04114</v>
      </c>
      <c r="Q978" t="n">
        <v>-35</v>
      </c>
      <c r="R978" t="n">
        <v>0.0983</v>
      </c>
      <c r="S978">
        <f>IMAGE("https://mitra.stanford.edu/kundaje/oak/projects/neuro-variants/variant_position/credible/roussos_2024/variant_figures/roussos_2024.infant.GLU/rs2025402_count_position.png",4,220,900)</f>
        <v/>
      </c>
      <c r="T978">
        <f>IMAGE("https://mitra.stanford.edu/kundaje/oak/projects/neuro-variants/variant_position/credible/roussos_2024/variant_figures/roussos_2024.infant.GLU/rs2025402_profile_position.png",4,220,900)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0.0259398848</v>
      </c>
      <c r="G979" t="n">
        <v>0.3576323829962425</v>
      </c>
      <c r="H979" t="n">
        <v>0.0160017263058632</v>
      </c>
      <c r="I979" t="n">
        <v>0.3150681842925242</v>
      </c>
      <c r="J979" t="n">
        <v>0.0079785709561497</v>
      </c>
      <c r="K979" t="n">
        <v>0.7097937281935375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0.11005</v>
      </c>
      <c r="Q979" t="n">
        <v>-90</v>
      </c>
      <c r="R979" t="n">
        <v>0.1084</v>
      </c>
      <c r="S979">
        <f>IMAGE("https://mitra.stanford.edu/kundaje/oak/projects/neuro-variants/variant_position/credible/roussos_2024/variant_figures/roussos_2024.infant.GLU/rs11620255_count_position.png",4,220,900)</f>
        <v/>
      </c>
      <c r="T979">
        <f>IMAGE("https://mitra.stanford.edu/kundaje/oak/projects/neuro-variants/variant_position/credible/roussos_2024/variant_figures/roussos_2024.infant.GLU/rs11620255_profile_position.png",4,220,900)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-0.09216525</v>
      </c>
      <c r="G980" t="n">
        <v>0.06501416717135711</v>
      </c>
      <c r="H980" t="n">
        <v>0.0130147027497024</v>
      </c>
      <c r="I980" t="n">
        <v>0.4838290269950364</v>
      </c>
      <c r="J980" t="n">
        <v>0.0008609096320465</v>
      </c>
      <c r="K980" t="n">
        <v>0.9181552633048964</v>
      </c>
      <c r="L980" t="b">
        <v>0</v>
      </c>
      <c r="M980" t="b">
        <v>0</v>
      </c>
      <c r="N980" t="inlineStr">
        <is>
          <t>ref</t>
        </is>
      </c>
      <c r="O980" t="n">
        <v>75</v>
      </c>
      <c r="P980" t="n">
        <v>0.01414</v>
      </c>
      <c r="Q980" t="n">
        <v>15</v>
      </c>
      <c r="R980" t="n">
        <v>0.0404</v>
      </c>
      <c r="S980">
        <f>IMAGE("https://mitra.stanford.edu/kundaje/oak/projects/neuro-variants/variant_position/credible/roussos_2024/variant_figures/roussos_2024.infant.GLU/rs7330208_count_position.png",4,220,900)</f>
        <v/>
      </c>
      <c r="T980">
        <f>IMAGE("https://mitra.stanford.edu/kundaje/oak/projects/neuro-variants/variant_position/credible/roussos_2024/variant_figures/roussos_2024.infant.GLU/rs7330208_profile_position.png",4,220,900)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-0.0034647979999999</v>
      </c>
      <c r="G981" t="n">
        <v>0.5167460664753675</v>
      </c>
      <c r="H981" t="n">
        <v>0.01074968281532</v>
      </c>
      <c r="I981" t="n">
        <v>0.6667163129673109</v>
      </c>
      <c r="J981" t="n">
        <v>0.0049207434026322</v>
      </c>
      <c r="K981" t="n">
        <v>0.7844243061065969</v>
      </c>
      <c r="L981" t="b">
        <v>0</v>
      </c>
      <c r="M981" t="b">
        <v>0</v>
      </c>
      <c r="N981" t="inlineStr">
        <is>
          <t>ref</t>
        </is>
      </c>
      <c r="O981" t="n">
        <v>10</v>
      </c>
      <c r="P981" t="n">
        <v>0.004486</v>
      </c>
      <c r="Q981" t="n">
        <v>45</v>
      </c>
      <c r="R981" t="n">
        <v>0.1382</v>
      </c>
      <c r="S981">
        <f>IMAGE("https://mitra.stanford.edu/kundaje/oak/projects/neuro-variants/variant_position/credible/roussos_2024/variant_figures/roussos_2024.infant.GLU/rs9566253_count_position.png",4,220,900)</f>
        <v/>
      </c>
      <c r="T981">
        <f>IMAGE("https://mitra.stanford.edu/kundaje/oak/projects/neuro-variants/variant_position/credible/roussos_2024/variant_figures/roussos_2024.infant.GLU/rs9566253_profile_position.png",4,220,900)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0.274563136</v>
      </c>
      <c r="G982" t="n">
        <v>0.0041493112948098</v>
      </c>
      <c r="H982" t="n">
        <v>0.0404069088474867</v>
      </c>
      <c r="I982" t="n">
        <v>0.0196997912810754</v>
      </c>
      <c r="J982" t="n">
        <v>0.0500793668290746</v>
      </c>
      <c r="K982" t="n">
        <v>0.3392515001616203</v>
      </c>
      <c r="L982" t="b">
        <v>1</v>
      </c>
      <c r="M982" t="b">
        <v>1</v>
      </c>
      <c r="N982" t="inlineStr">
        <is>
          <t>alt</t>
        </is>
      </c>
      <c r="O982" t="n">
        <v>70</v>
      </c>
      <c r="P982" t="n">
        <v>0.00991</v>
      </c>
      <c r="Q982" t="n">
        <v>25</v>
      </c>
      <c r="R982" t="n">
        <v>0.01758</v>
      </c>
      <c r="S982">
        <f>IMAGE("https://mitra.stanford.edu/kundaje/oak/projects/neuro-variants/variant_position/credible/roussos_2024/variant_figures/roussos_2024.infant.GLU/rs1333376_count_position.png",4,220,900)</f>
        <v/>
      </c>
      <c r="T982">
        <f>IMAGE("https://mitra.stanford.edu/kundaje/oak/projects/neuro-variants/variant_position/credible/roussos_2024/variant_figures/roussos_2024.infant.GLU/rs1333376_profile_position.png",4,220,900)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0.0018736017</v>
      </c>
      <c r="G983" t="n">
        <v>0.6367548781940964</v>
      </c>
      <c r="H983" t="n">
        <v>0.0132163568929587</v>
      </c>
      <c r="I983" t="n">
        <v>0.4670187046982234</v>
      </c>
      <c r="J983" t="n">
        <v>0.0058411781564848</v>
      </c>
      <c r="K983" t="n">
        <v>0.7481044226278428</v>
      </c>
      <c r="L983" t="b">
        <v>0</v>
      </c>
      <c r="M983" t="b">
        <v>0</v>
      </c>
      <c r="N983" t="inlineStr">
        <is>
          <t>alt</t>
        </is>
      </c>
      <c r="O983" t="n">
        <v>75</v>
      </c>
      <c r="P983" t="n">
        <v>0.01456</v>
      </c>
      <c r="Q983" t="n">
        <v>-15</v>
      </c>
      <c r="R983" t="n">
        <v>0.0454</v>
      </c>
      <c r="S983">
        <f>IMAGE("https://mitra.stanford.edu/kundaje/oak/projects/neuro-variants/variant_position/credible/roussos_2024/variant_figures/roussos_2024.infant.GLU/rs78587501_count_position.png",4,220,900)</f>
        <v/>
      </c>
      <c r="T983">
        <f>IMAGE("https://mitra.stanford.edu/kundaje/oak/projects/neuro-variants/variant_position/credible/roussos_2024/variant_figures/roussos_2024.infant.GLU/rs78587501_profile_position.png",4,220,900)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-0.255404812</v>
      </c>
      <c r="G984" t="n">
        <v>0.0051387010004588</v>
      </c>
      <c r="H984" t="n">
        <v>0.040189713814538</v>
      </c>
      <c r="I984" t="n">
        <v>0.019738710806745</v>
      </c>
      <c r="J984" t="n">
        <v>0.1762417601798981</v>
      </c>
      <c r="K984" t="n">
        <v>0.1253459740143919</v>
      </c>
      <c r="L984" t="b">
        <v>1</v>
      </c>
      <c r="M984" t="b">
        <v>1</v>
      </c>
      <c r="N984" t="inlineStr">
        <is>
          <t>ref</t>
        </is>
      </c>
      <c r="O984" t="n">
        <v>-35</v>
      </c>
      <c r="P984" t="n">
        <v>0.006348</v>
      </c>
      <c r="Q984" t="n">
        <v>-75</v>
      </c>
      <c r="R984" t="n">
        <v>0.06616</v>
      </c>
      <c r="S984">
        <f>IMAGE("https://mitra.stanford.edu/kundaje/oak/projects/neuro-variants/variant_position/credible/roussos_2024/variant_figures/roussos_2024.infant.GLU/rs2652578_count_position.png",4,220,900)</f>
        <v/>
      </c>
      <c r="T984">
        <f>IMAGE("https://mitra.stanford.edu/kundaje/oak/projects/neuro-variants/variant_position/credible/roussos_2024/variant_figures/roussos_2024.infant.GLU/rs2652578_profile_position.png",4,220,900)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0.0351398182</v>
      </c>
      <c r="G985" t="n">
        <v>0.2703548313334096</v>
      </c>
      <c r="H985" t="n">
        <v>0.0129959881621607</v>
      </c>
      <c r="I985" t="n">
        <v>0.4832907940633495</v>
      </c>
      <c r="J985" t="n">
        <v>0.0004001410965849</v>
      </c>
      <c r="K985" t="n">
        <v>0.9514606176621028</v>
      </c>
      <c r="L985" t="b">
        <v>0</v>
      </c>
      <c r="M985" t="b">
        <v>0</v>
      </c>
      <c r="N985" t="inlineStr">
        <is>
          <t>alt</t>
        </is>
      </c>
      <c r="O985" t="n">
        <v>-60</v>
      </c>
      <c r="P985" t="n">
        <v>0.00566</v>
      </c>
      <c r="Q985" t="n">
        <v>-100</v>
      </c>
      <c r="R985" t="n">
        <v>0.06052</v>
      </c>
      <c r="S985">
        <f>IMAGE("https://mitra.stanford.edu/kundaje/oak/projects/neuro-variants/variant_position/credible/roussos_2024/variant_figures/roussos_2024.infant.GLU/rs9548286_count_position.png",4,220,900)</f>
        <v/>
      </c>
      <c r="T985">
        <f>IMAGE("https://mitra.stanford.edu/kundaje/oak/projects/neuro-variants/variant_position/credible/roussos_2024/variant_figures/roussos_2024.infant.GLU/rs9548286_profile_position.png",4,220,900)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-0.0179977087999999</v>
      </c>
      <c r="G986" t="n">
        <v>0.4781460384582742</v>
      </c>
      <c r="H986" t="n">
        <v>0.0614080470369315</v>
      </c>
      <c r="I986" t="n">
        <v>0.0027827979882735</v>
      </c>
      <c r="J986" t="n">
        <v>0.0184329460526025</v>
      </c>
      <c r="K986" t="n">
        <v>0.5481589108764432</v>
      </c>
      <c r="L986" t="b">
        <v>1</v>
      </c>
      <c r="M986" t="b">
        <v>0</v>
      </c>
      <c r="N986" t="inlineStr">
        <is>
          <t>ref</t>
        </is>
      </c>
      <c r="O986" t="n">
        <v>-90</v>
      </c>
      <c r="P986" t="n">
        <v>0.01367</v>
      </c>
      <c r="Q986" t="n">
        <v>70</v>
      </c>
      <c r="R986" t="n">
        <v>0.0707</v>
      </c>
      <c r="S986">
        <f>IMAGE("https://mitra.stanford.edu/kundaje/oak/projects/neuro-variants/variant_position/credible/roussos_2024/variant_figures/roussos_2024.infant.GLU/rs665175_count_position.png",4,220,900)</f>
        <v/>
      </c>
      <c r="T986">
        <f>IMAGE("https://mitra.stanford.edu/kundaje/oak/projects/neuro-variants/variant_position/credible/roussos_2024/variant_figures/roussos_2024.infant.GLU/rs665175_profile_position.png",4,220,900)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0.00230660642</v>
      </c>
      <c r="G987" t="n">
        <v>0.8783510066233161</v>
      </c>
      <c r="H987" t="n">
        <v>0.0138422245334398</v>
      </c>
      <c r="I987" t="n">
        <v>0.4279242167816343</v>
      </c>
      <c r="J987" t="n">
        <v>0.0097279481470049</v>
      </c>
      <c r="K987" t="n">
        <v>0.6610336672984822</v>
      </c>
      <c r="L987" t="b">
        <v>0</v>
      </c>
      <c r="M987" t="b">
        <v>0</v>
      </c>
      <c r="N987" t="inlineStr">
        <is>
          <t>alt</t>
        </is>
      </c>
      <c r="O987" t="n">
        <v>45</v>
      </c>
      <c r="P987" t="n">
        <v>0.02423</v>
      </c>
      <c r="Q987" t="n">
        <v>35</v>
      </c>
      <c r="R987" t="n">
        <v>0.0214</v>
      </c>
      <c r="S987">
        <f>IMAGE("https://mitra.stanford.edu/kundaje/oak/projects/neuro-variants/variant_position/credible/roussos_2024/variant_figures/roussos_2024.infant.GLU/rs651360_count_position.png",4,220,900)</f>
        <v/>
      </c>
      <c r="T987">
        <f>IMAGE("https://mitra.stanford.edu/kundaje/oak/projects/neuro-variants/variant_position/credible/roussos_2024/variant_figures/roussos_2024.infant.GLU/rs651360_profile_position.png",4,220,900)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0.0561271332</v>
      </c>
      <c r="G988" t="n">
        <v>0.1421756895586546</v>
      </c>
      <c r="H988" t="n">
        <v>0.015867353368188</v>
      </c>
      <c r="I988" t="n">
        <v>0.3184700633165112</v>
      </c>
      <c r="J988" t="n">
        <v>0.1206673427544698</v>
      </c>
      <c r="K988" t="n">
        <v>0.1789366821751619</v>
      </c>
      <c r="L988" t="b">
        <v>0</v>
      </c>
      <c r="M988" t="b">
        <v>0</v>
      </c>
      <c r="N988" t="inlineStr">
        <is>
          <t>alt</t>
        </is>
      </c>
      <c r="O988" t="n">
        <v>50</v>
      </c>
      <c r="P988" t="n">
        <v>0.00293</v>
      </c>
      <c r="Q988" t="n">
        <v>-70</v>
      </c>
      <c r="R988" t="n">
        <v>0.02979</v>
      </c>
      <c r="S988">
        <f>IMAGE("https://mitra.stanford.edu/kundaje/oak/projects/neuro-variants/variant_position/credible/roussos_2024/variant_figures/roussos_2024.infant.GLU/rs7322623_count_position.png",4,220,900)</f>
        <v/>
      </c>
      <c r="T988">
        <f>IMAGE("https://mitra.stanford.edu/kundaje/oak/projects/neuro-variants/variant_position/credible/roussos_2024/variant_figures/roussos_2024.infant.GLU/rs7322623_profile_position.png",4,220,900)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-0.0516620741</v>
      </c>
      <c r="G989" t="n">
        <v>0.1679284057793977</v>
      </c>
      <c r="H989" t="n">
        <v>0.0110315698142139</v>
      </c>
      <c r="I989" t="n">
        <v>0.6282736587099947</v>
      </c>
      <c r="J989" t="n">
        <v>0.0303236402918935</v>
      </c>
      <c r="K989" t="n">
        <v>0.4546743595666958</v>
      </c>
      <c r="L989" t="b">
        <v>0</v>
      </c>
      <c r="M989" t="b">
        <v>0</v>
      </c>
      <c r="N989" t="inlineStr">
        <is>
          <t>ref</t>
        </is>
      </c>
      <c r="O989" t="n">
        <v>-15</v>
      </c>
      <c r="P989" t="n">
        <v>0.002625</v>
      </c>
      <c r="Q989" t="n">
        <v>-70</v>
      </c>
      <c r="R989" t="n">
        <v>0.10315</v>
      </c>
      <c r="S989">
        <f>IMAGE("https://mitra.stanford.edu/kundaje/oak/projects/neuro-variants/variant_position/credible/roussos_2024/variant_figures/roussos_2024.infant.GLU/rs276423_count_position.png",4,220,900)</f>
        <v/>
      </c>
      <c r="T989">
        <f>IMAGE("https://mitra.stanford.edu/kundaje/oak/projects/neuro-variants/variant_position/credible/roussos_2024/variant_figures/roussos_2024.infant.GLU/rs276423_profile_position.png",4,220,900)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-0.172831816</v>
      </c>
      <c r="G990" t="n">
        <v>0.0157034282996251</v>
      </c>
      <c r="H990" t="n">
        <v>0.024591426044131</v>
      </c>
      <c r="I990" t="n">
        <v>0.1095120268159431</v>
      </c>
      <c r="J990" t="n">
        <v>0.0310478626072003</v>
      </c>
      <c r="K990" t="n">
        <v>0.4476138480380258</v>
      </c>
      <c r="L990" t="b">
        <v>1</v>
      </c>
      <c r="M990" t="b">
        <v>0</v>
      </c>
      <c r="N990" t="inlineStr">
        <is>
          <t>ref</t>
        </is>
      </c>
      <c r="O990" t="n">
        <v>-10</v>
      </c>
      <c r="P990" t="n">
        <v>0.00757</v>
      </c>
      <c r="Q990" t="n">
        <v>-100</v>
      </c>
      <c r="R990" t="n">
        <v>0.11426</v>
      </c>
      <c r="S990">
        <f>IMAGE("https://mitra.stanford.edu/kundaje/oak/projects/neuro-variants/variant_position/credible/roussos_2024/variant_figures/roussos_2024.infant.GLU/rs277293_count_position.png",4,220,900)</f>
        <v/>
      </c>
      <c r="T990">
        <f>IMAGE("https://mitra.stanford.edu/kundaje/oak/projects/neuro-variants/variant_position/credible/roussos_2024/variant_figures/roussos_2024.infant.GLU/rs277293_profile_position.png",4,220,900)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-0.09837465720000001</v>
      </c>
      <c r="G991" t="n">
        <v>0.0535589254336576</v>
      </c>
      <c r="H991" t="n">
        <v>0.0249814125161339</v>
      </c>
      <c r="I991" t="n">
        <v>0.1012971543242418</v>
      </c>
      <c r="J991" t="n">
        <v>0.2076412619325822</v>
      </c>
      <c r="K991" t="n">
        <v>0.1053494971311652</v>
      </c>
      <c r="L991" t="b">
        <v>0</v>
      </c>
      <c r="M991" t="b">
        <v>0</v>
      </c>
      <c r="N991" t="inlineStr">
        <is>
          <t>ref</t>
        </is>
      </c>
      <c r="O991" t="n">
        <v>-35</v>
      </c>
      <c r="P991" t="n">
        <v>0.01056</v>
      </c>
      <c r="Q991" t="n">
        <v>-35</v>
      </c>
      <c r="R991" t="n">
        <v>0.1819</v>
      </c>
      <c r="S991">
        <f>IMAGE("https://mitra.stanford.edu/kundaje/oak/projects/neuro-variants/variant_position/credible/roussos_2024/variant_figures/roussos_2024.infant.GLU/rs9567243_count_position.png",4,220,900)</f>
        <v/>
      </c>
      <c r="T991">
        <f>IMAGE("https://mitra.stanford.edu/kundaje/oak/projects/neuro-variants/variant_position/credible/roussos_2024/variant_figures/roussos_2024.infant.GLU/rs9567243_profile_position.png",4,220,900)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-0.0401749156</v>
      </c>
      <c r="G992" t="n">
        <v>0.2373485315787833</v>
      </c>
      <c r="H992" t="n">
        <v>0.0077974690296426</v>
      </c>
      <c r="I992" t="n">
        <v>0.9061138004595808</v>
      </c>
      <c r="J992" t="n">
        <v>0.0403150422187437</v>
      </c>
      <c r="K992" t="n">
        <v>0.3874648241327565</v>
      </c>
      <c r="L992" t="b">
        <v>0</v>
      </c>
      <c r="M992" t="b">
        <v>0</v>
      </c>
      <c r="N992" t="inlineStr">
        <is>
          <t>ref</t>
        </is>
      </c>
      <c r="O992" t="n">
        <v>-90</v>
      </c>
      <c r="P992" t="n">
        <v>0.013176</v>
      </c>
      <c r="Q992" t="n">
        <v>-100</v>
      </c>
      <c r="R992" t="n">
        <v>0.06383999999999999</v>
      </c>
      <c r="S992">
        <f>IMAGE("https://mitra.stanford.edu/kundaje/oak/projects/neuro-variants/variant_position/credible/roussos_2024/variant_figures/roussos_2024.infant.GLU/rs12864863_count_position.png",4,220,900)</f>
        <v/>
      </c>
      <c r="T992">
        <f>IMAGE("https://mitra.stanford.edu/kundaje/oak/projects/neuro-variants/variant_position/credible/roussos_2024/variant_figures/roussos_2024.infant.GLU/rs12864863_profile_position.png",4,220,900)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-0.234480266</v>
      </c>
      <c r="G993" t="n">
        <v>0.0067013079021214</v>
      </c>
      <c r="H993" t="n">
        <v>0.0479826746031078</v>
      </c>
      <c r="I993" t="n">
        <v>0.0094707630527962</v>
      </c>
      <c r="J993" t="n">
        <v>0.1483079432968098</v>
      </c>
      <c r="K993" t="n">
        <v>0.147174543110673</v>
      </c>
      <c r="L993" t="b">
        <v>1</v>
      </c>
      <c r="M993" t="b">
        <v>1</v>
      </c>
      <c r="N993" t="inlineStr">
        <is>
          <t>ref</t>
        </is>
      </c>
      <c r="O993" t="n">
        <v>-20</v>
      </c>
      <c r="P993" t="n">
        <v>0.003128</v>
      </c>
      <c r="Q993" t="n">
        <v>-40</v>
      </c>
      <c r="R993" t="n">
        <v>0.04077</v>
      </c>
      <c r="S993">
        <f>IMAGE("https://mitra.stanford.edu/kundaje/oak/projects/neuro-variants/variant_position/credible/roussos_2024/variant_figures/roussos_2024.infant.GLU/rs11147926_count_position.png",4,220,900)</f>
        <v/>
      </c>
      <c r="T993">
        <f>IMAGE("https://mitra.stanford.edu/kundaje/oak/projects/neuro-variants/variant_position/credible/roussos_2024/variant_figures/roussos_2024.infant.GLU/rs11147926_profile_position.png",4,220,900)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-0.043522331484</v>
      </c>
      <c r="G994" t="n">
        <v>0.2454489131518146</v>
      </c>
      <c r="H994" t="n">
        <v>0.0155510119852077</v>
      </c>
      <c r="I994" t="n">
        <v>0.3354737642568691</v>
      </c>
      <c r="J994" t="n">
        <v>0.0025959567009854</v>
      </c>
      <c r="K994" t="n">
        <v>0.8357956733046572</v>
      </c>
      <c r="L994" t="b">
        <v>0</v>
      </c>
      <c r="M994" t="b">
        <v>0</v>
      </c>
      <c r="N994" t="inlineStr">
        <is>
          <t>ref</t>
        </is>
      </c>
      <c r="O994" t="n">
        <v>-100</v>
      </c>
      <c r="P994" t="n">
        <v>0.00575</v>
      </c>
      <c r="Q994" t="n">
        <v>50</v>
      </c>
      <c r="R994" t="n">
        <v>0.057</v>
      </c>
      <c r="S994">
        <f>IMAGE("https://mitra.stanford.edu/kundaje/oak/projects/neuro-variants/variant_position/credible/roussos_2024/variant_figures/roussos_2024.infant.GLU/rs11619519_count_position.png",4,220,900)</f>
        <v/>
      </c>
      <c r="T994">
        <f>IMAGE("https://mitra.stanford.edu/kundaje/oak/projects/neuro-variants/variant_position/credible/roussos_2024/variant_figures/roussos_2024.infant.GLU/rs11619519_profile_position.png",4,220,900)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-0.0150239097</v>
      </c>
      <c r="G995" t="n">
        <v>0.5615333884887951</v>
      </c>
      <c r="H995" t="n">
        <v>0.0094061986313608</v>
      </c>
      <c r="I995" t="n">
        <v>0.7949828522180368</v>
      </c>
      <c r="J995" t="n">
        <v>0.0741694040873916</v>
      </c>
      <c r="K995" t="n">
        <v>0.2640980148278685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0.1193</v>
      </c>
      <c r="Q995" t="n">
        <v>95</v>
      </c>
      <c r="R995" t="n">
        <v>0.0974</v>
      </c>
      <c r="S995">
        <f>IMAGE("https://mitra.stanford.edu/kundaje/oak/projects/neuro-variants/variant_position/credible/roussos_2024/variant_figures/roussos_2024.infant.GLU/rs11147928_count_position.png",4,220,900)</f>
        <v/>
      </c>
      <c r="T995">
        <f>IMAGE("https://mitra.stanford.edu/kundaje/oak/projects/neuro-variants/variant_position/credible/roussos_2024/variant_figures/roussos_2024.infant.GLU/rs11147928_profile_position.png",4,220,900)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0.0533986923999999</v>
      </c>
      <c r="G996" t="n">
        <v>0.1848785236918164</v>
      </c>
      <c r="H996" t="n">
        <v>0.0142681358469351</v>
      </c>
      <c r="I996" t="n">
        <v>0.4086059576113497</v>
      </c>
      <c r="J996" t="n">
        <v>0.08402301638043159</v>
      </c>
      <c r="K996" t="n">
        <v>0.2395281359264583</v>
      </c>
      <c r="L996" t="b">
        <v>0</v>
      </c>
      <c r="M996" t="b">
        <v>0</v>
      </c>
      <c r="N996" t="inlineStr">
        <is>
          <t>alt</t>
        </is>
      </c>
      <c r="O996" t="n">
        <v>100</v>
      </c>
      <c r="P996" t="n">
        <v>0.1332</v>
      </c>
      <c r="Q996" t="n">
        <v>100</v>
      </c>
      <c r="R996" t="n">
        <v>0.0936</v>
      </c>
      <c r="S996">
        <f>IMAGE("https://mitra.stanford.edu/kundaje/oak/projects/neuro-variants/variant_position/credible/roussos_2024/variant_figures/roussos_2024.infant.GLU/rs10870772_count_position.png",4,220,900)</f>
        <v/>
      </c>
      <c r="T996">
        <f>IMAGE("https://mitra.stanford.edu/kundaje/oak/projects/neuro-variants/variant_position/credible/roussos_2024/variant_figures/roussos_2024.infant.GLU/rs10870772_profile_position.png",4,220,900)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0.0226683052</v>
      </c>
      <c r="G997" t="n">
        <v>0.341167412458047</v>
      </c>
      <c r="H997" t="n">
        <v>0.0589534740158623</v>
      </c>
      <c r="I997" t="n">
        <v>0.0034103822406587</v>
      </c>
      <c r="J997" t="n">
        <v>0.1243314446967525</v>
      </c>
      <c r="K997" t="n">
        <v>0.1759721127195853</v>
      </c>
      <c r="L997" t="b">
        <v>1</v>
      </c>
      <c r="M997" t="b">
        <v>1</v>
      </c>
      <c r="N997" t="inlineStr">
        <is>
          <t>alt</t>
        </is>
      </c>
      <c r="O997" t="n">
        <v>-5</v>
      </c>
      <c r="P997" t="n">
        <v>0.001785</v>
      </c>
      <c r="Q997" t="n">
        <v>40</v>
      </c>
      <c r="R997" t="n">
        <v>0.0557</v>
      </c>
      <c r="S997">
        <f>IMAGE("https://mitra.stanford.edu/kundaje/oak/projects/neuro-variants/variant_position/credible/roussos_2024/variant_figures/roussos_2024.infant.GLU/rs12872943_count_position.png",4,220,900)</f>
        <v/>
      </c>
      <c r="T997">
        <f>IMAGE("https://mitra.stanford.edu/kundaje/oak/projects/neuro-variants/variant_position/credible/roussos_2024/variant_figures/roussos_2024.infant.GLU/rs12872943_profile_position.png",4,220,900)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-0.1428011652</v>
      </c>
      <c r="G998" t="n">
        <v>0.0231387675796961</v>
      </c>
      <c r="H998" t="n">
        <v>0.0309017418224567</v>
      </c>
      <c r="I998" t="n">
        <v>0.0523718457968211</v>
      </c>
      <c r="J998" t="n">
        <v>0.013735973015278</v>
      </c>
      <c r="K998" t="n">
        <v>0.6082293225189055</v>
      </c>
      <c r="L998" t="b">
        <v>0</v>
      </c>
      <c r="M998" t="b">
        <v>0</v>
      </c>
      <c r="N998" t="inlineStr">
        <is>
          <t>ref</t>
        </is>
      </c>
      <c r="O998" t="n">
        <v>-100</v>
      </c>
      <c r="P998" t="n">
        <v>0.02966</v>
      </c>
      <c r="Q998" t="n">
        <v>30</v>
      </c>
      <c r="R998" t="n">
        <v>0.0706</v>
      </c>
      <c r="S998">
        <f>IMAGE("https://mitra.stanford.edu/kundaje/oak/projects/neuro-variants/variant_position/credible/roussos_2024/variant_figures/roussos_2024.infant.GLU/rs2875541_count_position.png",4,220,900)</f>
        <v/>
      </c>
      <c r="T998">
        <f>IMAGE("https://mitra.stanford.edu/kundaje/oak/projects/neuro-variants/variant_position/credible/roussos_2024/variant_figures/roussos_2024.infant.GLU/rs2875541_profile_position.png",4,220,900)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-0.1089890566</v>
      </c>
      <c r="G999" t="n">
        <v>0.0465740764952409</v>
      </c>
      <c r="H999" t="n">
        <v>0.0240810697161489</v>
      </c>
      <c r="I999" t="n">
        <v>0.1168210760923625</v>
      </c>
      <c r="J999" t="n">
        <v>0.1973908154941687</v>
      </c>
      <c r="K999" t="n">
        <v>0.1133400047715467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0.02745</v>
      </c>
      <c r="Q999" t="n">
        <v>-75</v>
      </c>
      <c r="R999" t="n">
        <v>0.1084</v>
      </c>
      <c r="S999">
        <f>IMAGE("https://mitra.stanford.edu/kundaje/oak/projects/neuro-variants/variant_position/credible/roussos_2024/variant_figures/roussos_2024.infant.GLU/rs4942255_count_position.png",4,220,900)</f>
        <v/>
      </c>
      <c r="T999">
        <f>IMAGE("https://mitra.stanford.edu/kundaje/oak/projects/neuro-variants/variant_position/credible/roussos_2024/variant_figures/roussos_2024.infant.GLU/rs4942255_profile_position.png",4,220,900)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-0.01538294808</v>
      </c>
      <c r="G1000" t="n">
        <v>0.4192008179775563</v>
      </c>
      <c r="H1000" t="n">
        <v>0.0379668721137159</v>
      </c>
      <c r="I1000" t="n">
        <v>0.0249131050557512</v>
      </c>
      <c r="J1000" t="n">
        <v>0.0467327322030908</v>
      </c>
      <c r="K1000" t="n">
        <v>0.3734129530396942</v>
      </c>
      <c r="L1000" t="b">
        <v>0</v>
      </c>
      <c r="M1000" t="b">
        <v>0</v>
      </c>
      <c r="N1000" t="inlineStr">
        <is>
          <t>ref</t>
        </is>
      </c>
      <c r="O1000" t="n">
        <v>-5</v>
      </c>
      <c r="P1000" t="n">
        <v>0.003296</v>
      </c>
      <c r="Q1000" t="n">
        <v>-5</v>
      </c>
      <c r="R1000" t="n">
        <v>0.009520000000000001</v>
      </c>
      <c r="S1000">
        <f>IMAGE("https://mitra.stanford.edu/kundaje/oak/projects/neuro-variants/variant_position/credible/roussos_2024/variant_figures/roussos_2024.infant.GLU/rs1445557_count_position.png",4,220,900)</f>
        <v/>
      </c>
      <c r="T1000">
        <f>IMAGE("https://mitra.stanford.edu/kundaje/oak/projects/neuro-variants/variant_position/credible/roussos_2024/variant_figures/roussos_2024.infant.GLU/rs1445557_profile_position.png",4,220,900)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0.002268949478</v>
      </c>
      <c r="G1001" t="n">
        <v>0.7249137617057774</v>
      </c>
      <c r="H1001" t="n">
        <v>0.0099868608933836</v>
      </c>
      <c r="I1001" t="n">
        <v>0.7405516240246959</v>
      </c>
      <c r="J1001" t="n">
        <v>0.0144017725258492</v>
      </c>
      <c r="K1001" t="n">
        <v>0.6006008698704126</v>
      </c>
      <c r="L1001" t="b">
        <v>0</v>
      </c>
      <c r="M1001" t="b">
        <v>0</v>
      </c>
      <c r="N1001" t="inlineStr">
        <is>
          <t>alt</t>
        </is>
      </c>
      <c r="O1001" t="n">
        <v>80</v>
      </c>
      <c r="P1001" t="n">
        <v>0.009186</v>
      </c>
      <c r="Q1001" t="n">
        <v>100</v>
      </c>
      <c r="R1001" t="n">
        <v>0.0853</v>
      </c>
      <c r="S1001">
        <f>IMAGE("https://mitra.stanford.edu/kundaje/oak/projects/neuro-variants/variant_position/credible/roussos_2024/variant_figures/roussos_2024.infant.GLU/rs1373903_count_position.png",4,220,900)</f>
        <v/>
      </c>
      <c r="T1001">
        <f>IMAGE("https://mitra.stanford.edu/kundaje/oak/projects/neuro-variants/variant_position/credible/roussos_2024/variant_figures/roussos_2024.infant.GLU/rs1373903_profile_position.png",4,220,900)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0.00501300388</v>
      </c>
      <c r="G1002" t="n">
        <v>0.7134943989408533</v>
      </c>
      <c r="H1002" t="n">
        <v>0.0209683415527453</v>
      </c>
      <c r="I1002" t="n">
        <v>0.1629204232685208</v>
      </c>
      <c r="J1002" t="n">
        <v>0.0138770696002997</v>
      </c>
      <c r="K1002" t="n">
        <v>0.6184956464706318</v>
      </c>
      <c r="L1002" t="b">
        <v>0</v>
      </c>
      <c r="M1002" t="b">
        <v>0</v>
      </c>
      <c r="N1002" t="inlineStr">
        <is>
          <t>alt</t>
        </is>
      </c>
      <c r="O1002" t="n">
        <v>100</v>
      </c>
      <c r="P1002" t="n">
        <v>0.05106</v>
      </c>
      <c r="Q1002" t="n">
        <v>100</v>
      </c>
      <c r="R1002" t="n">
        <v>0.1887</v>
      </c>
      <c r="S1002">
        <f>IMAGE("https://mitra.stanford.edu/kundaje/oak/projects/neuro-variants/variant_position/credible/roussos_2024/variant_figures/roussos_2024.infant.GLU/rs7994883_count_position.png",4,220,900)</f>
        <v/>
      </c>
      <c r="T1002">
        <f>IMAGE("https://mitra.stanford.edu/kundaje/oak/projects/neuro-variants/variant_position/credible/roussos_2024/variant_figures/roussos_2024.infant.GLU/rs7994883_profile_position.png",4,220,900)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0.002431322972</v>
      </c>
      <c r="G1003" t="n">
        <v>0.7283199221124108</v>
      </c>
      <c r="H1003" t="n">
        <v>0.0188234528323361</v>
      </c>
      <c r="I1003" t="n">
        <v>0.2128402177465648</v>
      </c>
      <c r="J1003" t="n">
        <v>0.5953768822063978</v>
      </c>
      <c r="K1003" t="n">
        <v>0.0215518502359739</v>
      </c>
      <c r="L1003" t="b">
        <v>0</v>
      </c>
      <c r="M1003" t="b">
        <v>0</v>
      </c>
      <c r="N1003" t="inlineStr">
        <is>
          <t>alt</t>
        </is>
      </c>
      <c r="O1003" t="n">
        <v>-45</v>
      </c>
      <c r="P1003" t="n">
        <v>0.005215</v>
      </c>
      <c r="Q1003" t="n">
        <v>70</v>
      </c>
      <c r="R1003" t="n">
        <v>0.10925</v>
      </c>
      <c r="S1003">
        <f>IMAGE("https://mitra.stanford.edu/kundaje/oak/projects/neuro-variants/variant_position/credible/roussos_2024/variant_figures/roussos_2024.infant.GLU/rs1359541_count_position.png",4,220,900)</f>
        <v/>
      </c>
      <c r="T1003">
        <f>IMAGE("https://mitra.stanford.edu/kundaje/oak/projects/neuro-variants/variant_position/credible/roussos_2024/variant_figures/roussos_2024.infant.GLU/rs1359541_profile_position.png",4,220,900)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0.0675058348</v>
      </c>
      <c r="G1004" t="n">
        <v>0.1451147117640136</v>
      </c>
      <c r="H1004" t="n">
        <v>0.0228024201635796</v>
      </c>
      <c r="I1004" t="n">
        <v>0.1318735972806294</v>
      </c>
      <c r="J1004" t="n">
        <v>0.07805948102912311</v>
      </c>
      <c r="K1004" t="n">
        <v>0.2525338234628109</v>
      </c>
      <c r="L1004" t="b">
        <v>0</v>
      </c>
      <c r="M1004" t="b">
        <v>0</v>
      </c>
      <c r="N1004" t="inlineStr">
        <is>
          <t>alt</t>
        </is>
      </c>
      <c r="O1004" t="n">
        <v>-20</v>
      </c>
      <c r="P1004" t="n">
        <v>0.001617</v>
      </c>
      <c r="Q1004" t="n">
        <v>-30</v>
      </c>
      <c r="R1004" t="n">
        <v>0.0263</v>
      </c>
      <c r="S1004">
        <f>IMAGE("https://mitra.stanford.edu/kundaje/oak/projects/neuro-variants/variant_position/credible/roussos_2024/variant_figures/roussos_2024.infant.GLU/rs9316462_count_position.png",4,220,900)</f>
        <v/>
      </c>
      <c r="T1004">
        <f>IMAGE("https://mitra.stanford.edu/kundaje/oak/projects/neuro-variants/variant_position/credible/roussos_2024/variant_figures/roussos_2024.infant.GLU/rs9316462_profile_position.png",4,220,900)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0.0449499108</v>
      </c>
      <c r="G1005" t="n">
        <v>0.194471627875935</v>
      </c>
      <c r="H1005" t="n">
        <v>0.0376719172170513</v>
      </c>
      <c r="I1005" t="n">
        <v>0.0254941077710921</v>
      </c>
      <c r="J1005" t="n">
        <v>0.0065466610815934</v>
      </c>
      <c r="K1005" t="n">
        <v>0.7291820796088947</v>
      </c>
      <c r="L1005" t="b">
        <v>0</v>
      </c>
      <c r="M1005" t="b">
        <v>0</v>
      </c>
      <c r="N1005" t="inlineStr">
        <is>
          <t>alt</t>
        </is>
      </c>
      <c r="O1005" t="n">
        <v>75</v>
      </c>
      <c r="P1005" t="n">
        <v>0.01024</v>
      </c>
      <c r="Q1005" t="n">
        <v>100</v>
      </c>
      <c r="R1005" t="n">
        <v>0.07580000000000001</v>
      </c>
      <c r="S1005">
        <f>IMAGE("https://mitra.stanford.edu/kundaje/oak/projects/neuro-variants/variant_position/credible/roussos_2024/variant_figures/roussos_2024.infant.GLU/rs4619272_count_position.png",4,220,900)</f>
        <v/>
      </c>
      <c r="T1005">
        <f>IMAGE("https://mitra.stanford.edu/kundaje/oak/projects/neuro-variants/variant_position/credible/roussos_2024/variant_figures/roussos_2024.infant.GLU/rs4619272_profile_position.png",4,220,900)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0.460795912</v>
      </c>
      <c r="G1006" t="n">
        <v>0.0006021557502174</v>
      </c>
      <c r="H1006" t="n">
        <v>0.0737644608493413</v>
      </c>
      <c r="I1006" t="n">
        <v>0.0010487344921998</v>
      </c>
      <c r="J1006" t="n">
        <v>0.576403800789259</v>
      </c>
      <c r="K1006" t="n">
        <v>0.0232116231125076</v>
      </c>
      <c r="L1006" t="b">
        <v>1</v>
      </c>
      <c r="M1006" t="b">
        <v>1</v>
      </c>
      <c r="N1006" t="inlineStr">
        <is>
          <t>alt</t>
        </is>
      </c>
      <c r="O1006" t="n">
        <v>-70</v>
      </c>
      <c r="P1006" t="n">
        <v>0.003395</v>
      </c>
      <c r="Q1006" t="n">
        <v>30</v>
      </c>
      <c r="R1006" t="n">
        <v>0.1138</v>
      </c>
      <c r="S1006">
        <f>IMAGE("https://mitra.stanford.edu/kundaje/oak/projects/neuro-variants/variant_position/credible/roussos_2024/variant_figures/roussos_2024.infant.GLU/rs7989647_count_position.png",4,220,900)</f>
        <v/>
      </c>
      <c r="T1006">
        <f>IMAGE("https://mitra.stanford.edu/kundaje/oak/projects/neuro-variants/variant_position/credible/roussos_2024/variant_figures/roussos_2024.infant.GLU/rs7989647_profile_position.png",4,220,900)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-0.00589987089</v>
      </c>
      <c r="G1007" t="n">
        <v>0.7665979788531946</v>
      </c>
      <c r="H1007" t="n">
        <v>0.0132767554626062</v>
      </c>
      <c r="I1007" t="n">
        <v>0.464867998725173</v>
      </c>
      <c r="J1007" t="n">
        <v>0.0151998500848783</v>
      </c>
      <c r="K1007" t="n">
        <v>0.5871969038254746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0.0912</v>
      </c>
      <c r="Q1007" t="n">
        <v>-100</v>
      </c>
      <c r="R1007" t="n">
        <v>0.1073</v>
      </c>
      <c r="S1007">
        <f>IMAGE("https://mitra.stanford.edu/kundaje/oak/projects/neuro-variants/variant_position/credible/roussos_2024/variant_figures/roussos_2024.infant.GLU/rs2806731_count_position.png",4,220,900)</f>
        <v/>
      </c>
      <c r="T1007">
        <f>IMAGE("https://mitra.stanford.edu/kundaje/oak/projects/neuro-variants/variant_position/credible/roussos_2024/variant_figures/roussos_2024.infant.GLU/rs2806731_profile_position.png",4,220,900)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-0.0581632208</v>
      </c>
      <c r="G1008" t="n">
        <v>0.142475890039248</v>
      </c>
      <c r="H1008" t="n">
        <v>0.011396640318692</v>
      </c>
      <c r="I1008" t="n">
        <v>0.6143249098148736</v>
      </c>
      <c r="J1008" t="n">
        <v>0.0477137943958199</v>
      </c>
      <c r="K1008" t="n">
        <v>0.3579284992948129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0.01219</v>
      </c>
      <c r="Q1008" t="n">
        <v>-60</v>
      </c>
      <c r="R1008" t="n">
        <v>0.063</v>
      </c>
      <c r="S1008">
        <f>IMAGE("https://mitra.stanford.edu/kundaje/oak/projects/neuro-variants/variant_position/credible/roussos_2024/variant_figures/roussos_2024.infant.GLU/rs2806738_count_position.png",4,220,900)</f>
        <v/>
      </c>
      <c r="T1008">
        <f>IMAGE("https://mitra.stanford.edu/kundaje/oak/projects/neuro-variants/variant_position/credible/roussos_2024/variant_figures/roussos_2024.infant.GLU/rs2806738_profile_position.png",4,220,900)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-0.00188409614</v>
      </c>
      <c r="G1009" t="n">
        <v>0.3097593135146269</v>
      </c>
      <c r="H1009" t="n">
        <v>0.009278395194312899</v>
      </c>
      <c r="I1009" t="n">
        <v>0.7850021062441883</v>
      </c>
      <c r="J1009" t="n">
        <v>0.0371271412509093</v>
      </c>
      <c r="K1009" t="n">
        <v>0.4366554908449888</v>
      </c>
      <c r="L1009" t="b">
        <v>0</v>
      </c>
      <c r="M1009" t="b">
        <v>0</v>
      </c>
      <c r="N1009" t="inlineStr">
        <is>
          <t>ref</t>
        </is>
      </c>
      <c r="O1009" t="n">
        <v>65</v>
      </c>
      <c r="P1009" t="n">
        <v>0.01654</v>
      </c>
      <c r="Q1009" t="n">
        <v>-55</v>
      </c>
      <c r="R1009" t="n">
        <v>0.02454</v>
      </c>
      <c r="S1009">
        <f>IMAGE("https://mitra.stanford.edu/kundaje/oak/projects/neuro-variants/variant_position/credible/roussos_2024/variant_figures/roussos_2024.infant.GLU/rs3120869_count_position.png",4,220,900)</f>
        <v/>
      </c>
      <c r="T1009">
        <f>IMAGE("https://mitra.stanford.edu/kundaje/oak/projects/neuro-variants/variant_position/credible/roussos_2024/variant_figures/roussos_2024.infant.GLU/rs3120869_profile_position.png",4,220,900)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0.012806948</v>
      </c>
      <c r="G1010" t="n">
        <v>0.5558467547558886</v>
      </c>
      <c r="H1010" t="n">
        <v>0.0145609256585989</v>
      </c>
      <c r="I1010" t="n">
        <v>0.3863978478399079</v>
      </c>
      <c r="J1010" t="n">
        <v>0.0527690204810511</v>
      </c>
      <c r="K1010" t="n">
        <v>0.3339241990827036</v>
      </c>
      <c r="L1010" t="b">
        <v>0</v>
      </c>
      <c r="M1010" t="b">
        <v>0</v>
      </c>
      <c r="N1010" t="inlineStr">
        <is>
          <t>alt</t>
        </is>
      </c>
      <c r="O1010" t="n">
        <v>100</v>
      </c>
      <c r="P1010" t="n">
        <v>0.010315</v>
      </c>
      <c r="Q1010" t="n">
        <v>100</v>
      </c>
      <c r="R1010" t="n">
        <v>0.0487</v>
      </c>
      <c r="S1010">
        <f>IMAGE("https://mitra.stanford.edu/kundaje/oak/projects/neuro-variants/variant_position/credible/roussos_2024/variant_figures/roussos_2024.infant.GLU/rs9527348_count_position.png",4,220,900)</f>
        <v/>
      </c>
      <c r="T1010">
        <f>IMAGE("https://mitra.stanford.edu/kundaje/oak/projects/neuro-variants/variant_position/credible/roussos_2024/variant_figures/roussos_2024.infant.GLU/rs9527348_profile_position.png",4,220,900)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0.0449958117999999</v>
      </c>
      <c r="G1011" t="n">
        <v>0.1904062530642696</v>
      </c>
      <c r="H1011" t="n">
        <v>0.017777726130767</v>
      </c>
      <c r="I1011" t="n">
        <v>0.2473706999676377</v>
      </c>
      <c r="J1011" t="n">
        <v>0.3561189620582464</v>
      </c>
      <c r="K1011" t="n">
        <v>0.0532766786191971</v>
      </c>
      <c r="L1011" t="b">
        <v>0</v>
      </c>
      <c r="M1011" t="b">
        <v>0</v>
      </c>
      <c r="N1011" t="inlineStr">
        <is>
          <t>alt</t>
        </is>
      </c>
      <c r="O1011" t="n">
        <v>45</v>
      </c>
      <c r="P1011" t="n">
        <v>0.005337</v>
      </c>
      <c r="Q1011" t="n">
        <v>55</v>
      </c>
      <c r="R1011" t="n">
        <v>0.0762</v>
      </c>
      <c r="S1011">
        <f>IMAGE("https://mitra.stanford.edu/kundaje/oak/projects/neuro-variants/variant_position/credible/roussos_2024/variant_figures/roussos_2024.infant.GLU/rs3124390_count_position.png",4,220,900)</f>
        <v/>
      </c>
      <c r="T1011">
        <f>IMAGE("https://mitra.stanford.edu/kundaje/oak/projects/neuro-variants/variant_position/credible/roussos_2024/variant_figures/roussos_2024.infant.GLU/rs3124390_profile_position.png",4,220,900)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-0.00368188922</v>
      </c>
      <c r="G1012" t="n">
        <v>0.7685892028754913</v>
      </c>
      <c r="H1012" t="n">
        <v>0.0218440998103666</v>
      </c>
      <c r="I1012" t="n">
        <v>0.1455598190519882</v>
      </c>
      <c r="J1012" t="n">
        <v>0.0723329438479683</v>
      </c>
      <c r="K1012" t="n">
        <v>0.2709004215723657</v>
      </c>
      <c r="L1012" t="b">
        <v>0</v>
      </c>
      <c r="M1012" t="b">
        <v>0</v>
      </c>
      <c r="N1012" t="inlineStr">
        <is>
          <t>ref</t>
        </is>
      </c>
      <c r="O1012" t="n">
        <v>75</v>
      </c>
      <c r="P1012" t="n">
        <v>0.03108</v>
      </c>
      <c r="Q1012" t="n">
        <v>10</v>
      </c>
      <c r="R1012" t="n">
        <v>0.0298</v>
      </c>
      <c r="S1012">
        <f>IMAGE("https://mitra.stanford.edu/kundaje/oak/projects/neuro-variants/variant_position/credible/roussos_2024/variant_figures/roussos_2024.infant.GLU/rs9537039_count_position.png",4,220,900)</f>
        <v/>
      </c>
      <c r="T1012">
        <f>IMAGE("https://mitra.stanford.edu/kundaje/oak/projects/neuro-variants/variant_position/credible/roussos_2024/variant_figures/roussos_2024.infant.GLU/rs9537039_profile_position.png",4,220,900)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0.1173309967999999</v>
      </c>
      <c r="G1013" t="n">
        <v>0.0388014680579215</v>
      </c>
      <c r="H1013" t="n">
        <v>0.0130203350204778</v>
      </c>
      <c r="I1013" t="n">
        <v>0.4748003811753216</v>
      </c>
      <c r="J1013" t="n">
        <v>0.382894243700258</v>
      </c>
      <c r="K1013" t="n">
        <v>0.0496642517294942</v>
      </c>
      <c r="L1013" t="b">
        <v>0</v>
      </c>
      <c r="M1013" t="b">
        <v>0</v>
      </c>
      <c r="N1013" t="inlineStr">
        <is>
          <t>alt</t>
        </is>
      </c>
      <c r="O1013" t="n">
        <v>-5</v>
      </c>
      <c r="P1013" t="n">
        <v>0.003906</v>
      </c>
      <c r="Q1013" t="n">
        <v>-100</v>
      </c>
      <c r="R1013" t="n">
        <v>0.1636</v>
      </c>
      <c r="S1013">
        <f>IMAGE("https://mitra.stanford.edu/kundaje/oak/projects/neuro-variants/variant_position/credible/roussos_2024/variant_figures/roussos_2024.infant.GLU/rs3098275_count_position.png",4,220,900)</f>
        <v/>
      </c>
      <c r="T1013">
        <f>IMAGE("https://mitra.stanford.edu/kundaje/oak/projects/neuro-variants/variant_position/credible/roussos_2024/variant_figures/roussos_2024.infant.GLU/rs3098275_profile_position.png",4,220,900)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0.0361860138</v>
      </c>
      <c r="G1014" t="n">
        <v>0.2562284928099703</v>
      </c>
      <c r="H1014" t="n">
        <v>0.0068038823698745</v>
      </c>
      <c r="I1014" t="n">
        <v>0.9687007139593684</v>
      </c>
      <c r="J1014" t="n">
        <v>0.0113626843625299</v>
      </c>
      <c r="K1014" t="n">
        <v>0.6372653090951216</v>
      </c>
      <c r="L1014" t="b">
        <v>0</v>
      </c>
      <c r="M1014" t="b">
        <v>0</v>
      </c>
      <c r="N1014" t="inlineStr">
        <is>
          <t>alt</t>
        </is>
      </c>
      <c r="O1014" t="n">
        <v>5</v>
      </c>
      <c r="P1014" t="n">
        <v>0.00232</v>
      </c>
      <c r="Q1014" t="n">
        <v>100</v>
      </c>
      <c r="R1014" t="n">
        <v>0.1266</v>
      </c>
      <c r="S1014">
        <f>IMAGE("https://mitra.stanford.edu/kundaje/oak/projects/neuro-variants/variant_position/credible/roussos_2024/variant_figures/roussos_2024.infant.GLU/rs3098269_count_position.png",4,220,900)</f>
        <v/>
      </c>
      <c r="T1014">
        <f>IMAGE("https://mitra.stanford.edu/kundaje/oak/projects/neuro-variants/variant_position/credible/roussos_2024/variant_figures/roussos_2024.infant.GLU/rs3098269_profile_position.png",4,220,900)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0.00697255988</v>
      </c>
      <c r="G1015" t="n">
        <v>0.5416181571603005</v>
      </c>
      <c r="H1015" t="n">
        <v>0.0491053267292799</v>
      </c>
      <c r="I1015" t="n">
        <v>0.0083637842011294</v>
      </c>
      <c r="J1015" t="n">
        <v>0.0193401530016093</v>
      </c>
      <c r="K1015" t="n">
        <v>0.5390153245865136</v>
      </c>
      <c r="L1015" t="b">
        <v>1</v>
      </c>
      <c r="M1015" t="b">
        <v>0</v>
      </c>
      <c r="N1015" t="inlineStr">
        <is>
          <t>alt</t>
        </is>
      </c>
      <c r="O1015" t="n">
        <v>-100</v>
      </c>
      <c r="P1015" t="n">
        <v>0.02359</v>
      </c>
      <c r="Q1015" t="n">
        <v>-95</v>
      </c>
      <c r="R1015" t="n">
        <v>0.05438</v>
      </c>
      <c r="S1015">
        <f>IMAGE("https://mitra.stanford.edu/kundaje/oak/projects/neuro-variants/variant_position/credible/roussos_2024/variant_figures/roussos_2024.infant.GLU/rs3098265_count_position.png",4,220,900)</f>
        <v/>
      </c>
      <c r="T1015">
        <f>IMAGE("https://mitra.stanford.edu/kundaje/oak/projects/neuro-variants/variant_position/credible/roussos_2024/variant_figures/roussos_2024.infant.GLU/rs3098265_profile_position.png",4,220,900)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0.016600853</v>
      </c>
      <c r="G1016" t="n">
        <v>0.4992736595859554</v>
      </c>
      <c r="H1016" t="n">
        <v>0.0458391161983483</v>
      </c>
      <c r="I1016" t="n">
        <v>0.0112960831661661</v>
      </c>
      <c r="J1016" t="n">
        <v>0.10573866266893</v>
      </c>
      <c r="K1016" t="n">
        <v>0.2039312520997171</v>
      </c>
      <c r="L1016" t="b">
        <v>1</v>
      </c>
      <c r="M1016" t="b">
        <v>0</v>
      </c>
      <c r="N1016" t="inlineStr">
        <is>
          <t>alt</t>
        </is>
      </c>
      <c r="O1016" t="n">
        <v>-100</v>
      </c>
      <c r="P1016" t="n">
        <v>0.01808</v>
      </c>
      <c r="Q1016" t="n">
        <v>15</v>
      </c>
      <c r="R1016" t="n">
        <v>0.04996</v>
      </c>
      <c r="S1016">
        <f>IMAGE("https://mitra.stanford.edu/kundaje/oak/projects/neuro-variants/variant_position/credible/roussos_2024/variant_figures/roussos_2024.infant.GLU/rs3098271_count_position.png",4,220,900)</f>
        <v/>
      </c>
      <c r="T1016">
        <f>IMAGE("https://mitra.stanford.edu/kundaje/oak/projects/neuro-variants/variant_position/credible/roussos_2024/variant_figures/roussos_2024.infant.GLU/rs3098271_profile_position.png",4,220,900)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0.07024771939999989</v>
      </c>
      <c r="G1017" t="n">
        <v>0.1071668096963676</v>
      </c>
      <c r="H1017" t="n">
        <v>0.0158842076188168</v>
      </c>
      <c r="I1017" t="n">
        <v>0.3190429344692274</v>
      </c>
      <c r="J1017" t="n">
        <v>0.2039275557221279</v>
      </c>
      <c r="K1017" t="n">
        <v>0.107796982668419</v>
      </c>
      <c r="L1017" t="b">
        <v>0</v>
      </c>
      <c r="M1017" t="b">
        <v>0</v>
      </c>
      <c r="N1017" t="inlineStr">
        <is>
          <t>alt</t>
        </is>
      </c>
      <c r="O1017" t="n">
        <v>-100</v>
      </c>
      <c r="P1017" t="n">
        <v>0.0722</v>
      </c>
      <c r="Q1017" t="n">
        <v>-30</v>
      </c>
      <c r="R1017" t="n">
        <v>0.08325</v>
      </c>
      <c r="S1017">
        <f>IMAGE("https://mitra.stanford.edu/kundaje/oak/projects/neuro-variants/variant_position/credible/roussos_2024/variant_figures/roussos_2024.infant.GLU/rs1657205_count_position.png",4,220,900)</f>
        <v/>
      </c>
      <c r="T1017">
        <f>IMAGE("https://mitra.stanford.edu/kundaje/oak/projects/neuro-variants/variant_position/credible/roussos_2024/variant_figures/roussos_2024.infant.GLU/rs1657205_profile_position.png",4,220,900)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0.01131800806</v>
      </c>
      <c r="G1018" t="n">
        <v>0.5990814143965442</v>
      </c>
      <c r="H1018" t="n">
        <v>0.0415788140952473</v>
      </c>
      <c r="I1018" t="n">
        <v>0.017344417170773</v>
      </c>
      <c r="J1018" t="n">
        <v>0.0658127383760664</v>
      </c>
      <c r="K1018" t="n">
        <v>0.29007676096961</v>
      </c>
      <c r="L1018" t="b">
        <v>1</v>
      </c>
      <c r="M1018" t="b">
        <v>0</v>
      </c>
      <c r="N1018" t="inlineStr">
        <is>
          <t>alt</t>
        </is>
      </c>
      <c r="O1018" t="n">
        <v>85</v>
      </c>
      <c r="P1018" t="n">
        <v>0.01001</v>
      </c>
      <c r="Q1018" t="n">
        <v>70</v>
      </c>
      <c r="R1018" t="n">
        <v>0.1997</v>
      </c>
      <c r="S1018">
        <f>IMAGE("https://mitra.stanford.edu/kundaje/oak/projects/neuro-variants/variant_position/credible/roussos_2024/variant_figures/roussos_2024.infant.GLU/rs3124426_count_position.png",4,220,900)</f>
        <v/>
      </c>
      <c r="T1018">
        <f>IMAGE("https://mitra.stanford.edu/kundaje/oak/projects/neuro-variants/variant_position/credible/roussos_2024/variant_figures/roussos_2024.infant.GLU/rs3124426_profile_position.png",4,220,900)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-0.0116426712</v>
      </c>
      <c r="G1019" t="n">
        <v>0.5999103589797196</v>
      </c>
      <c r="H1019" t="n">
        <v>0.0362072127295484</v>
      </c>
      <c r="I1019" t="n">
        <v>0.0299623333586338</v>
      </c>
      <c r="J1019" t="n">
        <v>0.0202903503163649</v>
      </c>
      <c r="K1019" t="n">
        <v>0.541403330994218</v>
      </c>
      <c r="L1019" t="b">
        <v>0</v>
      </c>
      <c r="M1019" t="b">
        <v>0</v>
      </c>
      <c r="N1019" t="inlineStr">
        <is>
          <t>ref</t>
        </is>
      </c>
      <c r="O1019" t="n">
        <v>95</v>
      </c>
      <c r="P1019" t="n">
        <v>0.04285</v>
      </c>
      <c r="Q1019" t="n">
        <v>-70</v>
      </c>
      <c r="R1019" t="n">
        <v>0.109</v>
      </c>
      <c r="S1019">
        <f>IMAGE("https://mitra.stanford.edu/kundaje/oak/projects/neuro-variants/variant_position/credible/roussos_2024/variant_figures/roussos_2024.infant.GLU/rs9537096_count_position.png",4,220,900)</f>
        <v/>
      </c>
      <c r="T1019">
        <f>IMAGE("https://mitra.stanford.edu/kundaje/oak/projects/neuro-variants/variant_position/credible/roussos_2024/variant_figures/roussos_2024.infant.GLU/rs9537096_profile_position.png",4,220,900)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0.00432230106</v>
      </c>
      <c r="G1020" t="n">
        <v>0.3637882199363526</v>
      </c>
      <c r="H1020" t="n">
        <v>0.010212733376208</v>
      </c>
      <c r="I1020" t="n">
        <v>0.6954911831501657</v>
      </c>
      <c r="J1020" t="n">
        <v>0.09477832403712599</v>
      </c>
      <c r="K1020" t="n">
        <v>0.219423693607325</v>
      </c>
      <c r="L1020" t="b">
        <v>0</v>
      </c>
      <c r="M1020" t="b">
        <v>0</v>
      </c>
      <c r="N1020" t="inlineStr">
        <is>
          <t>alt</t>
        </is>
      </c>
      <c r="O1020" t="n">
        <v>-25</v>
      </c>
      <c r="P1020" t="n">
        <v>0.06012</v>
      </c>
      <c r="Q1020" t="n">
        <v>-80</v>
      </c>
      <c r="R1020" t="n">
        <v>0.12317</v>
      </c>
      <c r="S1020">
        <f>IMAGE("https://mitra.stanford.edu/kundaje/oak/projects/neuro-variants/variant_position/credible/roussos_2024/variant_figures/roussos_2024.infant.GLU/rs4885824_count_position.png",4,220,900)</f>
        <v/>
      </c>
      <c r="T1020">
        <f>IMAGE("https://mitra.stanford.edu/kundaje/oak/projects/neuro-variants/variant_position/credible/roussos_2024/variant_figures/roussos_2024.infant.GLU/rs4885824_profile_position.png",4,220,900)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0.2177444699999999</v>
      </c>
      <c r="G1021" t="n">
        <v>0.008881377859248399</v>
      </c>
      <c r="H1021" t="n">
        <v>0.0335084368957586</v>
      </c>
      <c r="I1021" t="n">
        <v>0.0406761219975539</v>
      </c>
      <c r="J1021" t="n">
        <v>0.0135772393571286</v>
      </c>
      <c r="K1021" t="n">
        <v>0.6139229569981471</v>
      </c>
      <c r="L1021" t="b">
        <v>1</v>
      </c>
      <c r="M1021" t="b">
        <v>1</v>
      </c>
      <c r="N1021" t="inlineStr">
        <is>
          <t>alt</t>
        </is>
      </c>
      <c r="O1021" t="n">
        <v>-35</v>
      </c>
      <c r="P1021" t="n">
        <v>0.009964000000000001</v>
      </c>
      <c r="Q1021" t="n">
        <v>25</v>
      </c>
      <c r="R1021" t="n">
        <v>0.03113</v>
      </c>
      <c r="S1021">
        <f>IMAGE("https://mitra.stanford.edu/kundaje/oak/projects/neuro-variants/variant_position/credible/roussos_2024/variant_figures/roussos_2024.infant.GLU/rs3124395_count_position.png",4,220,900)</f>
        <v/>
      </c>
      <c r="T1021">
        <f>IMAGE("https://mitra.stanford.edu/kundaje/oak/projects/neuro-variants/variant_position/credible/roussos_2024/variant_figures/roussos_2024.infant.GLU/rs3124395_profile_position.png",4,220,900)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0.01554982586</v>
      </c>
      <c r="G1022" t="n">
        <v>0.5123042319934586</v>
      </c>
      <c r="H1022" t="n">
        <v>0.036505128965091</v>
      </c>
      <c r="I1022" t="n">
        <v>0.0292409381058956</v>
      </c>
      <c r="J1022" t="n">
        <v>0.0128508124076809</v>
      </c>
      <c r="K1022" t="n">
        <v>0.6184077357361976</v>
      </c>
      <c r="L1022" t="b">
        <v>0</v>
      </c>
      <c r="M1022" t="b">
        <v>0</v>
      </c>
      <c r="N1022" t="inlineStr">
        <is>
          <t>alt</t>
        </is>
      </c>
      <c r="O1022" t="n">
        <v>-85</v>
      </c>
      <c r="P1022" t="n">
        <v>0.02252</v>
      </c>
      <c r="Q1022" t="n">
        <v>-25</v>
      </c>
      <c r="R1022" t="n">
        <v>0.007904</v>
      </c>
      <c r="S1022">
        <f>IMAGE("https://mitra.stanford.edu/kundaje/oak/projects/neuro-variants/variant_position/credible/roussos_2024/variant_figures/roussos_2024.infant.GLU/rs3105072_count_position.png",4,220,900)</f>
        <v/>
      </c>
      <c r="T1022">
        <f>IMAGE("https://mitra.stanford.edu/kundaje/oak/projects/neuro-variants/variant_position/credible/roussos_2024/variant_figures/roussos_2024.infant.GLU/rs3105072_profile_position.png",4,220,900)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0.055868283</v>
      </c>
      <c r="G1023" t="n">
        <v>0.1423825145451777</v>
      </c>
      <c r="H1023" t="n">
        <v>0.0528813772976283</v>
      </c>
      <c r="I1023" t="n">
        <v>0.0057841832601051</v>
      </c>
      <c r="J1023" t="n">
        <v>0.0035593818205868</v>
      </c>
      <c r="K1023" t="n">
        <v>0.7992670689046267</v>
      </c>
      <c r="L1023" t="b">
        <v>0</v>
      </c>
      <c r="M1023" t="b">
        <v>0</v>
      </c>
      <c r="N1023" t="inlineStr">
        <is>
          <t>alt</t>
        </is>
      </c>
      <c r="O1023" t="n">
        <v>100</v>
      </c>
      <c r="P1023" t="n">
        <v>0.01413</v>
      </c>
      <c r="Q1023" t="n">
        <v>30</v>
      </c>
      <c r="R1023" t="n">
        <v>0.02359</v>
      </c>
      <c r="S1023">
        <f>IMAGE("https://mitra.stanford.edu/kundaje/oak/projects/neuro-variants/variant_position/credible/roussos_2024/variant_figures/roussos_2024.infant.GLU/rs4242982_count_position.png",4,220,900)</f>
        <v/>
      </c>
      <c r="T1023">
        <f>IMAGE("https://mitra.stanford.edu/kundaje/oak/projects/neuro-variants/variant_position/credible/roussos_2024/variant_figures/roussos_2024.infant.GLU/rs4242982_profile_position.png",4,220,900)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-0.00806977442</v>
      </c>
      <c r="G1024" t="n">
        <v>0.6963024498026215</v>
      </c>
      <c r="H1024" t="n">
        <v>0.0319680789521511</v>
      </c>
      <c r="I1024" t="n">
        <v>0.0464397111425444</v>
      </c>
      <c r="J1024" t="n">
        <v>0.0329218016270199</v>
      </c>
      <c r="K1024" t="n">
        <v>0.4308710252320083</v>
      </c>
      <c r="L1024" t="b">
        <v>0</v>
      </c>
      <c r="M1024" t="b">
        <v>0</v>
      </c>
      <c r="N1024" t="inlineStr">
        <is>
          <t>ref</t>
        </is>
      </c>
      <c r="O1024" t="n">
        <v>75</v>
      </c>
      <c r="P1024" t="n">
        <v>0.01315</v>
      </c>
      <c r="Q1024" t="n">
        <v>-100</v>
      </c>
      <c r="R1024" t="n">
        <v>0.1777</v>
      </c>
      <c r="S1024">
        <f>IMAGE("https://mitra.stanford.edu/kundaje/oak/projects/neuro-variants/variant_position/credible/roussos_2024/variant_figures/roussos_2024.infant.GLU/rs3105090_count_position.png",4,220,900)</f>
        <v/>
      </c>
      <c r="T1024">
        <f>IMAGE("https://mitra.stanford.edu/kundaje/oak/projects/neuro-variants/variant_position/credible/roussos_2024/variant_figures/roussos_2024.infant.GLU/rs3105090_profile_position.png",4,220,900)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0.0752694648</v>
      </c>
      <c r="G1025" t="n">
        <v>0.0989379086810394</v>
      </c>
      <c r="H1025" t="n">
        <v>0.012019107654848</v>
      </c>
      <c r="I1025" t="n">
        <v>0.5417522341954742</v>
      </c>
      <c r="J1025" t="n">
        <v>0.012995215943914</v>
      </c>
      <c r="K1025" t="n">
        <v>0.620272769950647</v>
      </c>
      <c r="L1025" t="b">
        <v>0</v>
      </c>
      <c r="M1025" t="b">
        <v>0</v>
      </c>
      <c r="N1025" t="inlineStr">
        <is>
          <t>alt</t>
        </is>
      </c>
      <c r="O1025" t="n">
        <v>-80</v>
      </c>
      <c r="P1025" t="n">
        <v>0.01515</v>
      </c>
      <c r="Q1025" t="n">
        <v>60</v>
      </c>
      <c r="R1025" t="n">
        <v>0.04468</v>
      </c>
      <c r="S1025">
        <f>IMAGE("https://mitra.stanford.edu/kundaje/oak/projects/neuro-variants/variant_position/credible/roussos_2024/variant_figures/roussos_2024.infant.GLU/rs73191591_count_position.png",4,220,900)</f>
        <v/>
      </c>
      <c r="T1025">
        <f>IMAGE("https://mitra.stanford.edu/kundaje/oak/projects/neuro-variants/variant_position/credible/roussos_2024/variant_figures/roussos_2024.infant.GLU/rs73191591_profile_position.png",4,220,900)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0.06382994534</v>
      </c>
      <c r="G1026" t="n">
        <v>0.1401341958989948</v>
      </c>
      <c r="H1026" t="n">
        <v>0.0115734156362415</v>
      </c>
      <c r="I1026" t="n">
        <v>0.5930354110951597</v>
      </c>
      <c r="J1026" t="n">
        <v>0.0193985758063448</v>
      </c>
      <c r="K1026" t="n">
        <v>0.5476349839623786</v>
      </c>
      <c r="L1026" t="b">
        <v>0</v>
      </c>
      <c r="M1026" t="b">
        <v>0</v>
      </c>
      <c r="N1026" t="inlineStr">
        <is>
          <t>alt</t>
        </is>
      </c>
      <c r="O1026" t="n">
        <v>70</v>
      </c>
      <c r="P1026" t="n">
        <v>0.0114</v>
      </c>
      <c r="Q1026" t="n">
        <v>-25</v>
      </c>
      <c r="R1026" t="n">
        <v>0.0381</v>
      </c>
      <c r="S1026">
        <f>IMAGE("https://mitra.stanford.edu/kundaje/oak/projects/neuro-variants/variant_position/credible/roussos_2024/variant_figures/roussos_2024.infant.GLU/rs73193533_count_position.png",4,220,900)</f>
        <v/>
      </c>
      <c r="T1026">
        <f>IMAGE("https://mitra.stanford.edu/kundaje/oak/projects/neuro-variants/variant_position/credible/roussos_2024/variant_figures/roussos_2024.infant.GLU/rs73193533_profile_position.png",4,220,900)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-0.00191686246</v>
      </c>
      <c r="G1027" t="n">
        <v>0.4524810969642091</v>
      </c>
      <c r="H1027" t="n">
        <v>0.020610370179258</v>
      </c>
      <c r="I1027" t="n">
        <v>0.1834890583111477</v>
      </c>
      <c r="J1027" t="n">
        <v>0.0027513834079233</v>
      </c>
      <c r="K1027" t="n">
        <v>0.8110094867093797</v>
      </c>
      <c r="L1027" t="b">
        <v>0</v>
      </c>
      <c r="M1027" t="b">
        <v>0</v>
      </c>
      <c r="N1027" t="inlineStr">
        <is>
          <t>ref</t>
        </is>
      </c>
      <c r="O1027" t="n">
        <v>-100</v>
      </c>
      <c r="P1027" t="n">
        <v>0.005764</v>
      </c>
      <c r="Q1027" t="n">
        <v>50</v>
      </c>
      <c r="R1027" t="n">
        <v>0.0289</v>
      </c>
      <c r="S1027">
        <f>IMAGE("https://mitra.stanford.edu/kundaje/oak/projects/neuro-variants/variant_position/credible/roussos_2024/variant_figures/roussos_2024.infant.GLU/rs112311254_count_position.png",4,220,900)</f>
        <v/>
      </c>
      <c r="T1027">
        <f>IMAGE("https://mitra.stanford.edu/kundaje/oak/projects/neuro-variants/variant_position/credible/roussos_2024/variant_figures/roussos_2024.infant.GLU/rs112311254_profile_position.png",4,220,900)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-0.0183763594</v>
      </c>
      <c r="G1028" t="n">
        <v>0.473590390832156</v>
      </c>
      <c r="H1028" t="n">
        <v>0.010395075986676</v>
      </c>
      <c r="I1028" t="n">
        <v>0.6943295514789046</v>
      </c>
      <c r="J1028" t="n">
        <v>0.0036233162106747</v>
      </c>
      <c r="K1028" t="n">
        <v>0.7866529536485317</v>
      </c>
      <c r="L1028" t="b">
        <v>0</v>
      </c>
      <c r="M1028" t="b">
        <v>0</v>
      </c>
      <c r="N1028" t="inlineStr">
        <is>
          <t>ref</t>
        </is>
      </c>
      <c r="O1028" t="n">
        <v>75</v>
      </c>
      <c r="P1028" t="n">
        <v>0.0008050000000000001</v>
      </c>
      <c r="Q1028" t="n">
        <v>-100</v>
      </c>
      <c r="R1028" t="n">
        <v>0.1616</v>
      </c>
      <c r="S1028">
        <f>IMAGE("https://mitra.stanford.edu/kundaje/oak/projects/neuro-variants/variant_position/credible/roussos_2024/variant_figures/roussos_2024.infant.GLU/rs611686_count_position.png",4,220,900)</f>
        <v/>
      </c>
      <c r="T1028">
        <f>IMAGE("https://mitra.stanford.edu/kundaje/oak/projects/neuro-variants/variant_position/credible/roussos_2024/variant_figures/roussos_2024.infant.GLU/rs611686_profile_position.png",4,220,900)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0.0312152637999999</v>
      </c>
      <c r="G1029" t="n">
        <v>0.3008500103841032</v>
      </c>
      <c r="H1029" t="n">
        <v>0.038820808382519</v>
      </c>
      <c r="I1029" t="n">
        <v>0.0227240312862118</v>
      </c>
      <c r="J1029" t="n">
        <v>0.00626446791155</v>
      </c>
      <c r="K1029" t="n">
        <v>0.743468446554189</v>
      </c>
      <c r="L1029" t="b">
        <v>0</v>
      </c>
      <c r="M1029" t="b">
        <v>0</v>
      </c>
      <c r="N1029" t="inlineStr">
        <is>
          <t>alt</t>
        </is>
      </c>
      <c r="O1029" t="n">
        <v>-70</v>
      </c>
      <c r="P1029" t="n">
        <v>0.02177</v>
      </c>
      <c r="Q1029" t="n">
        <v>85</v>
      </c>
      <c r="R1029" t="n">
        <v>0.1309</v>
      </c>
      <c r="S1029">
        <f>IMAGE("https://mitra.stanford.edu/kundaje/oak/projects/neuro-variants/variant_position/credible/roussos_2024/variant_figures/roussos_2024.infant.GLU/rs73193578_count_position.png",4,220,900)</f>
        <v/>
      </c>
      <c r="T1029">
        <f>IMAGE("https://mitra.stanford.edu/kundaje/oak/projects/neuro-variants/variant_position/credible/roussos_2024/variant_figures/roussos_2024.infant.GLU/rs73193578_profile_position.png",4,220,900)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0.187457452</v>
      </c>
      <c r="G1030" t="n">
        <v>0.0120249204102889</v>
      </c>
      <c r="H1030" t="n">
        <v>0.0319137853638541</v>
      </c>
      <c r="I1030" t="n">
        <v>0.0472119177987258</v>
      </c>
      <c r="J1030" t="n">
        <v>0.08249961418902529</v>
      </c>
      <c r="K1030" t="n">
        <v>0.2470556907507106</v>
      </c>
      <c r="L1030" t="b">
        <v>1</v>
      </c>
      <c r="M1030" t="b">
        <v>0</v>
      </c>
      <c r="N1030" t="inlineStr">
        <is>
          <t>alt</t>
        </is>
      </c>
      <c r="O1030" t="n">
        <v>70</v>
      </c>
      <c r="P1030" t="n">
        <v>0.04367</v>
      </c>
      <c r="Q1030" t="n">
        <v>-55</v>
      </c>
      <c r="R1030" t="n">
        <v>0.02887</v>
      </c>
      <c r="S1030">
        <f>IMAGE("https://mitra.stanford.edu/kundaje/oak/projects/neuro-variants/variant_position/credible/roussos_2024/variant_figures/roussos_2024.infant.GLU/rs517462_count_position.png",4,220,900)</f>
        <v/>
      </c>
      <c r="T1030">
        <f>IMAGE("https://mitra.stanford.edu/kundaje/oak/projects/neuro-variants/variant_position/credible/roussos_2024/variant_figures/roussos_2024.infant.GLU/rs517462_profile_position.png",4,220,900)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0.0250491799999999</v>
      </c>
      <c r="G1031" t="n">
        <v>0.3589950446193109</v>
      </c>
      <c r="H1031" t="n">
        <v>0.0405370450035045</v>
      </c>
      <c r="I1031" t="n">
        <v>0.0192803046572798</v>
      </c>
      <c r="J1031" t="n">
        <v>0.0098822725368724</v>
      </c>
      <c r="K1031" t="n">
        <v>0.6693291381578015</v>
      </c>
      <c r="L1031" t="b">
        <v>0</v>
      </c>
      <c r="M1031" t="b">
        <v>0</v>
      </c>
      <c r="N1031" t="inlineStr">
        <is>
          <t>alt</t>
        </is>
      </c>
      <c r="O1031" t="n">
        <v>-100</v>
      </c>
      <c r="P1031" t="n">
        <v>0.01825</v>
      </c>
      <c r="Q1031" t="n">
        <v>-80</v>
      </c>
      <c r="R1031" t="n">
        <v>0.03635</v>
      </c>
      <c r="S1031">
        <f>IMAGE("https://mitra.stanford.edu/kundaje/oak/projects/neuro-variants/variant_position/credible/roussos_2024/variant_figures/roussos_2024.infant.GLU/rs3121501_count_position.png",4,220,900)</f>
        <v/>
      </c>
      <c r="T1031">
        <f>IMAGE("https://mitra.stanford.edu/kundaje/oak/projects/neuro-variants/variant_position/credible/roussos_2024/variant_figures/roussos_2024.infant.GLU/rs3121501_profile_position.png",4,220,900)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-0.01517036124</v>
      </c>
      <c r="G1032" t="n">
        <v>0.4861902876270076</v>
      </c>
      <c r="H1032" t="n">
        <v>0.0439109072470127</v>
      </c>
      <c r="I1032" t="n">
        <v>0.0138733932375552</v>
      </c>
      <c r="J1032" t="n">
        <v>0.0429462730659846</v>
      </c>
      <c r="K1032" t="n">
        <v>0.3718483977149304</v>
      </c>
      <c r="L1032" t="b">
        <v>1</v>
      </c>
      <c r="M1032" t="b">
        <v>0</v>
      </c>
      <c r="N1032" t="inlineStr">
        <is>
          <t>ref</t>
        </is>
      </c>
      <c r="O1032" t="n">
        <v>-80</v>
      </c>
      <c r="P1032" t="n">
        <v>0.02417</v>
      </c>
      <c r="Q1032" t="n">
        <v>55</v>
      </c>
      <c r="R1032" t="n">
        <v>0.0414</v>
      </c>
      <c r="S1032">
        <f>IMAGE("https://mitra.stanford.edu/kundaje/oak/projects/neuro-variants/variant_position/credible/roussos_2024/variant_figures/roussos_2024.infant.GLU/rs2137410_count_position.png",4,220,900)</f>
        <v/>
      </c>
      <c r="T1032">
        <f>IMAGE("https://mitra.stanford.edu/kundaje/oak/projects/neuro-variants/variant_position/credible/roussos_2024/variant_figures/roussos_2024.infant.GLU/rs2137410_profile_position.png",4,220,900)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-0.0124785301</v>
      </c>
      <c r="G1033" t="n">
        <v>0.5919421920197727</v>
      </c>
      <c r="H1033" t="n">
        <v>0.041421753369394</v>
      </c>
      <c r="I1033" t="n">
        <v>0.0175828062274787</v>
      </c>
      <c r="J1033" t="n">
        <v>0.4547675213298353</v>
      </c>
      <c r="K1033" t="n">
        <v>0.0369232481421295</v>
      </c>
      <c r="L1033" t="b">
        <v>1</v>
      </c>
      <c r="M1033" t="b">
        <v>0</v>
      </c>
      <c r="N1033" t="inlineStr">
        <is>
          <t>ref</t>
        </is>
      </c>
      <c r="O1033" t="n">
        <v>90</v>
      </c>
      <c r="P1033" t="n">
        <v>0.01337</v>
      </c>
      <c r="Q1033" t="n">
        <v>-15</v>
      </c>
      <c r="R1033" t="n">
        <v>0.01074</v>
      </c>
      <c r="S1033">
        <f>IMAGE("https://mitra.stanford.edu/kundaje/oak/projects/neuro-variants/variant_position/credible/roussos_2024/variant_figures/roussos_2024.infant.GLU/rs9569448_count_position.png",4,220,900)</f>
        <v/>
      </c>
      <c r="T1033">
        <f>IMAGE("https://mitra.stanford.edu/kundaje/oak/projects/neuro-variants/variant_position/credible/roussos_2024/variant_figures/roussos_2024.infant.GLU/rs9569448_profile_position.png",4,220,900)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-0.0427919294</v>
      </c>
      <c r="G1034" t="n">
        <v>0.2109888570500211</v>
      </c>
      <c r="H1034" t="n">
        <v>0.0116199948411575</v>
      </c>
      <c r="I1034" t="n">
        <v>0.5829645544161436</v>
      </c>
      <c r="J1034" t="n">
        <v>0.1195374677572256</v>
      </c>
      <c r="K1034" t="n">
        <v>0.1780293501805108</v>
      </c>
      <c r="L1034" t="b">
        <v>0</v>
      </c>
      <c r="M1034" t="b">
        <v>0</v>
      </c>
      <c r="N1034" t="inlineStr">
        <is>
          <t>ref</t>
        </is>
      </c>
      <c r="O1034" t="n">
        <v>100</v>
      </c>
      <c r="P1034" t="n">
        <v>0.02718</v>
      </c>
      <c r="Q1034" t="n">
        <v>0</v>
      </c>
      <c r="R1034" t="n">
        <v>0</v>
      </c>
      <c r="S1034">
        <f>IMAGE("https://mitra.stanford.edu/kundaje/oak/projects/neuro-variants/variant_position/credible/roussos_2024/variant_figures/roussos_2024.infant.GLU/rs9597389_count_position.png",4,220,900)</f>
        <v/>
      </c>
      <c r="T1034">
        <f>IMAGE("https://mitra.stanford.edu/kundaje/oak/projects/neuro-variants/variant_position/credible/roussos_2024/variant_figures/roussos_2024.infant.GLU/rs9597389_profile_position.png",4,220,900)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0.350205242</v>
      </c>
      <c r="G1035" t="n">
        <v>0.0017702440994905</v>
      </c>
      <c r="H1035" t="n">
        <v>0.0543548416849882</v>
      </c>
      <c r="I1035" t="n">
        <v>0.0050939040276942</v>
      </c>
      <c r="J1035" t="n">
        <v>0.0501025154875548</v>
      </c>
      <c r="K1035" t="n">
        <v>0.3446616032881582</v>
      </c>
      <c r="L1035" t="b">
        <v>1</v>
      </c>
      <c r="M1035" t="b">
        <v>1</v>
      </c>
      <c r="N1035" t="inlineStr">
        <is>
          <t>alt</t>
        </is>
      </c>
      <c r="O1035" t="n">
        <v>-90</v>
      </c>
      <c r="P1035" t="n">
        <v>0.0054</v>
      </c>
      <c r="Q1035" t="n">
        <v>50</v>
      </c>
      <c r="R1035" t="n">
        <v>0.0696</v>
      </c>
      <c r="S1035">
        <f>IMAGE("https://mitra.stanford.edu/kundaje/oak/projects/neuro-variants/variant_position/credible/roussos_2024/variant_figures/roussos_2024.infant.GLU/rs2784002_count_position.png",4,220,900)</f>
        <v/>
      </c>
      <c r="T1035">
        <f>IMAGE("https://mitra.stanford.edu/kundaje/oak/projects/neuro-variants/variant_position/credible/roussos_2024/variant_figures/roussos_2024.infant.GLU/rs2784002_profile_position.png",4,220,900)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0.0227224002</v>
      </c>
      <c r="G1036" t="n">
        <v>0.4072132751344215</v>
      </c>
      <c r="H1036" t="n">
        <v>0.0153155637992221</v>
      </c>
      <c r="I1036" t="n">
        <v>0.3439285987356293</v>
      </c>
      <c r="J1036" t="n">
        <v>0.0246952093300116</v>
      </c>
      <c r="K1036" t="n">
        <v>0.5040981039745778</v>
      </c>
      <c r="L1036" t="b">
        <v>0</v>
      </c>
      <c r="M1036" t="b">
        <v>0</v>
      </c>
      <c r="N1036" t="inlineStr">
        <is>
          <t>alt</t>
        </is>
      </c>
      <c r="O1036" t="n">
        <v>-70</v>
      </c>
      <c r="P1036" t="n">
        <v>0.009056</v>
      </c>
      <c r="Q1036" t="n">
        <v>-70</v>
      </c>
      <c r="R1036" t="n">
        <v>0.202</v>
      </c>
      <c r="S1036">
        <f>IMAGE("https://mitra.stanford.edu/kundaje/oak/projects/neuro-variants/variant_position/credible/roussos_2024/variant_figures/roussos_2024.infant.GLU/rs9591754_count_position.png",4,220,900)</f>
        <v/>
      </c>
      <c r="T1036">
        <f>IMAGE("https://mitra.stanford.edu/kundaje/oak/projects/neuro-variants/variant_position/credible/roussos_2024/variant_figures/roussos_2024.infant.GLU/rs9591754_profile_position.png",4,220,900)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0.0053086202</v>
      </c>
      <c r="G1037" t="n">
        <v>0.6939789627490002</v>
      </c>
      <c r="H1037" t="n">
        <v>0.008127501730846899</v>
      </c>
      <c r="I1037" t="n">
        <v>0.8922117808555103</v>
      </c>
      <c r="J1037" t="n">
        <v>0.0413809828259</v>
      </c>
      <c r="K1037" t="n">
        <v>0.3830285993263005</v>
      </c>
      <c r="L1037" t="b">
        <v>0</v>
      </c>
      <c r="M1037" t="b">
        <v>0</v>
      </c>
      <c r="N1037" t="inlineStr">
        <is>
          <t>alt</t>
        </is>
      </c>
      <c r="O1037" t="n">
        <v>-95</v>
      </c>
      <c r="P1037" t="n">
        <v>0.002365</v>
      </c>
      <c r="Q1037" t="n">
        <v>100</v>
      </c>
      <c r="R1037" t="n">
        <v>0.02011</v>
      </c>
      <c r="S1037">
        <f>IMAGE("https://mitra.stanford.edu/kundaje/oak/projects/neuro-variants/variant_position/credible/roussos_2024/variant_figures/roussos_2024.infant.GLU/rs9316851_count_position.png",4,220,900)</f>
        <v/>
      </c>
      <c r="T1037">
        <f>IMAGE("https://mitra.stanford.edu/kundaje/oak/projects/neuro-variants/variant_position/credible/roussos_2024/variant_figures/roussos_2024.infant.GLU/rs9316851_profile_position.png",4,220,900)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0.01843856728</v>
      </c>
      <c r="G1038" t="n">
        <v>0.4706019863332691</v>
      </c>
      <c r="H1038" t="n">
        <v>0.0074303846041656</v>
      </c>
      <c r="I1038" t="n">
        <v>0.9164473314091</v>
      </c>
      <c r="J1038" t="n">
        <v>0.003573711942503</v>
      </c>
      <c r="K1038" t="n">
        <v>0.7963031241061269</v>
      </c>
      <c r="L1038" t="b">
        <v>0</v>
      </c>
      <c r="M1038" t="b">
        <v>0</v>
      </c>
      <c r="N1038" t="inlineStr">
        <is>
          <t>alt</t>
        </is>
      </c>
      <c r="O1038" t="n">
        <v>30</v>
      </c>
      <c r="P1038" t="n">
        <v>0.005157</v>
      </c>
      <c r="Q1038" t="n">
        <v>90</v>
      </c>
      <c r="R1038" t="n">
        <v>0.0331</v>
      </c>
      <c r="S1038">
        <f>IMAGE("https://mitra.stanford.edu/kundaje/oak/projects/neuro-variants/variant_position/credible/roussos_2024/variant_figures/roussos_2024.infant.GLU/rs59918226_count_position.png",4,220,900)</f>
        <v/>
      </c>
      <c r="T1038">
        <f>IMAGE("https://mitra.stanford.edu/kundaje/oak/projects/neuro-variants/variant_position/credible/roussos_2024/variant_figures/roussos_2024.infant.GLU/rs59918226_profile_position.png",4,220,900)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-0.011558343492</v>
      </c>
      <c r="G1039" t="n">
        <v>0.6123662116938154</v>
      </c>
      <c r="H1039" t="n">
        <v>0.0089330648079023</v>
      </c>
      <c r="I1039" t="n">
        <v>0.8119674444433171</v>
      </c>
      <c r="J1039" t="n">
        <v>0.010029983024317</v>
      </c>
      <c r="K1039" t="n">
        <v>0.6618188621541232</v>
      </c>
      <c r="L1039" t="b">
        <v>0</v>
      </c>
      <c r="M1039" t="b">
        <v>0</v>
      </c>
      <c r="N1039" t="inlineStr">
        <is>
          <t>ref</t>
        </is>
      </c>
      <c r="O1039" t="n">
        <v>-100</v>
      </c>
      <c r="P1039" t="n">
        <v>0.02509</v>
      </c>
      <c r="Q1039" t="n">
        <v>75</v>
      </c>
      <c r="R1039" t="n">
        <v>0.05792</v>
      </c>
      <c r="S1039">
        <f>IMAGE("https://mitra.stanford.edu/kundaje/oak/projects/neuro-variants/variant_position/credible/roussos_2024/variant_figures/roussos_2024.infant.GLU/rs9316853_count_position.png",4,220,900)</f>
        <v/>
      </c>
      <c r="T1039">
        <f>IMAGE("https://mitra.stanford.edu/kundaje/oak/projects/neuro-variants/variant_position/credible/roussos_2024/variant_figures/roussos_2024.infant.GLU/rs9316853_profile_position.png",4,220,900)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0.1027236694</v>
      </c>
      <c r="G1040" t="n">
        <v>0.0543543714043326</v>
      </c>
      <c r="H1040" t="n">
        <v>0.013646316376678</v>
      </c>
      <c r="I1040" t="n">
        <v>0.4357523715770554</v>
      </c>
      <c r="J1040" t="n">
        <v>0.0594457549769614</v>
      </c>
      <c r="K1040" t="n">
        <v>0.306276281046381</v>
      </c>
      <c r="L1040" t="b">
        <v>0</v>
      </c>
      <c r="M1040" t="b">
        <v>0</v>
      </c>
      <c r="N1040" t="inlineStr">
        <is>
          <t>alt</t>
        </is>
      </c>
      <c r="O1040" t="n">
        <v>-20</v>
      </c>
      <c r="P1040" t="n">
        <v>0.007416</v>
      </c>
      <c r="Q1040" t="n">
        <v>-55</v>
      </c>
      <c r="R1040" t="n">
        <v>0.07275</v>
      </c>
      <c r="S1040">
        <f>IMAGE("https://mitra.stanford.edu/kundaje/oak/projects/neuro-variants/variant_position/credible/roussos_2024/variant_figures/roussos_2024.infant.GLU/rs12872193_count_position.png",4,220,900)</f>
        <v/>
      </c>
      <c r="T1040">
        <f>IMAGE("https://mitra.stanford.edu/kundaje/oak/projects/neuro-variants/variant_position/credible/roussos_2024/variant_figures/roussos_2024.infant.GLU/rs12872193_profile_position.png",4,220,900)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-0.02414048688</v>
      </c>
      <c r="G1041" t="n">
        <v>0.3548583458824239</v>
      </c>
      <c r="H1041" t="n">
        <v>0.0160014836179542</v>
      </c>
      <c r="I1041" t="n">
        <v>0.3134838213187976</v>
      </c>
      <c r="J1041" t="n">
        <v>0.2084746136378667</v>
      </c>
      <c r="K1041" t="n">
        <v>0.1070278838284535</v>
      </c>
      <c r="L1041" t="b">
        <v>0</v>
      </c>
      <c r="M1041" t="b">
        <v>0</v>
      </c>
      <c r="N1041" t="inlineStr">
        <is>
          <t>ref</t>
        </is>
      </c>
      <c r="O1041" t="n">
        <v>40</v>
      </c>
      <c r="P1041" t="n">
        <v>0.00583</v>
      </c>
      <c r="Q1041" t="n">
        <v>-65</v>
      </c>
      <c r="R1041" t="n">
        <v>0.0669</v>
      </c>
      <c r="S1041">
        <f>IMAGE("https://mitra.stanford.edu/kundaje/oak/projects/neuro-variants/variant_position/credible/roussos_2024/variant_figures/roussos_2024.infant.GLU/rs9597405_count_position.png",4,220,900)</f>
        <v/>
      </c>
      <c r="T1041">
        <f>IMAGE("https://mitra.stanford.edu/kundaje/oak/projects/neuro-variants/variant_position/credible/roussos_2024/variant_figures/roussos_2024.infant.GLU/rs9597405_profile_position.png",4,220,900)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-0.21030432</v>
      </c>
      <c r="G1042" t="n">
        <v>0.0088668499420859</v>
      </c>
      <c r="H1042" t="n">
        <v>0.0452211678995918</v>
      </c>
      <c r="I1042" t="n">
        <v>0.0121606753780364</v>
      </c>
      <c r="J1042" t="n">
        <v>0.172357194823519</v>
      </c>
      <c r="K1042" t="n">
        <v>0.1312579251142809</v>
      </c>
      <c r="L1042" t="b">
        <v>1</v>
      </c>
      <c r="M1042" t="b">
        <v>1</v>
      </c>
      <c r="N1042" t="inlineStr">
        <is>
          <t>ref</t>
        </is>
      </c>
      <c r="O1042" t="n">
        <v>-95</v>
      </c>
      <c r="P1042" t="n">
        <v>0.001472</v>
      </c>
      <c r="Q1042" t="n">
        <v>-35</v>
      </c>
      <c r="R1042" t="n">
        <v>0.1013</v>
      </c>
      <c r="S1042">
        <f>IMAGE("https://mitra.stanford.edu/kundaje/oak/projects/neuro-variants/variant_position/credible/roussos_2024/variant_figures/roussos_2024.infant.GLU/rs4885970_count_position.png",4,220,900)</f>
        <v/>
      </c>
      <c r="T1042">
        <f>IMAGE("https://mitra.stanford.edu/kundaje/oak/projects/neuro-variants/variant_position/credible/roussos_2024/variant_figures/roussos_2024.infant.GLU/rs4885970_profile_position.png",4,220,900)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0.052597989</v>
      </c>
      <c r="G1043" t="n">
        <v>0.1527653099999381</v>
      </c>
      <c r="H1043" t="n">
        <v>0.0575461632556188</v>
      </c>
      <c r="I1043" t="n">
        <v>0.0038006750044996</v>
      </c>
      <c r="J1043" t="n">
        <v>0.0047013823056063</v>
      </c>
      <c r="K1043" t="n">
        <v>0.7645654350544852</v>
      </c>
      <c r="L1043" t="b">
        <v>0</v>
      </c>
      <c r="M1043" t="b">
        <v>0</v>
      </c>
      <c r="N1043" t="inlineStr">
        <is>
          <t>alt</t>
        </is>
      </c>
      <c r="O1043" t="n">
        <v>60</v>
      </c>
      <c r="P1043" t="n">
        <v>0.02173</v>
      </c>
      <c r="Q1043" t="n">
        <v>60</v>
      </c>
      <c r="R1043" t="n">
        <v>0.0769</v>
      </c>
      <c r="S1043">
        <f>IMAGE("https://mitra.stanford.edu/kundaje/oak/projects/neuro-variants/variant_position/credible/roussos_2024/variant_figures/roussos_2024.infant.GLU/rs71428219_count_position.png",4,220,900)</f>
        <v/>
      </c>
      <c r="T1043">
        <f>IMAGE("https://mitra.stanford.edu/kundaje/oak/projects/neuro-variants/variant_position/credible/roussos_2024/variant_figures/roussos_2024.infant.GLU/rs71428219_profile_position.png",4,220,900)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0.00855076414</v>
      </c>
      <c r="G1044" t="n">
        <v>0.6092735921889787</v>
      </c>
      <c r="H1044" t="n">
        <v>0.0367277426965457</v>
      </c>
      <c r="I1044" t="n">
        <v>0.028320808877112</v>
      </c>
      <c r="J1044" t="n">
        <v>0.0050761701095702</v>
      </c>
      <c r="K1044" t="n">
        <v>0.7501810415832935</v>
      </c>
      <c r="L1044" t="b">
        <v>0</v>
      </c>
      <c r="M1044" t="b">
        <v>0</v>
      </c>
      <c r="N1044" t="inlineStr">
        <is>
          <t>alt</t>
        </is>
      </c>
      <c r="O1044" t="n">
        <v>95</v>
      </c>
      <c r="P1044" t="n">
        <v>0.02133</v>
      </c>
      <c r="Q1044" t="n">
        <v>-25</v>
      </c>
      <c r="R1044" t="n">
        <v>0.01782</v>
      </c>
      <c r="S1044">
        <f>IMAGE("https://mitra.stanford.edu/kundaje/oak/projects/neuro-variants/variant_position/credible/roussos_2024/variant_figures/roussos_2024.infant.GLU/rs9597412_count_position.png",4,220,900)</f>
        <v/>
      </c>
      <c r="T1044">
        <f>IMAGE("https://mitra.stanford.edu/kundaje/oak/projects/neuro-variants/variant_position/credible/roussos_2024/variant_figures/roussos_2024.infant.GLU/rs9597412_profile_position.png",4,220,900)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0.0196165492</v>
      </c>
      <c r="G1045" t="n">
        <v>0.4394714273779929</v>
      </c>
      <c r="H1045" t="n">
        <v>0.0471329823803596</v>
      </c>
      <c r="I1045" t="n">
        <v>0.009980960393461</v>
      </c>
      <c r="J1045" t="n">
        <v>0.0173956656892788</v>
      </c>
      <c r="K1045" t="n">
        <v>0.5762693794169038</v>
      </c>
      <c r="L1045" t="b">
        <v>1</v>
      </c>
      <c r="M1045" t="b">
        <v>0</v>
      </c>
      <c r="N1045" t="inlineStr">
        <is>
          <t>alt</t>
        </is>
      </c>
      <c r="O1045" t="n">
        <v>-100</v>
      </c>
      <c r="P1045" t="n">
        <v>0.01542</v>
      </c>
      <c r="Q1045" t="n">
        <v>25</v>
      </c>
      <c r="R1045" t="n">
        <v>0.0377</v>
      </c>
      <c r="S1045">
        <f>IMAGE("https://mitra.stanford.edu/kundaje/oak/projects/neuro-variants/variant_position/credible/roussos_2024/variant_figures/roussos_2024.infant.GLU/rs12853934_count_position.png",4,220,900)</f>
        <v/>
      </c>
      <c r="T1045">
        <f>IMAGE("https://mitra.stanford.edu/kundaje/oak/projects/neuro-variants/variant_position/credible/roussos_2024/variant_figures/roussos_2024.infant.GLU/rs12853934_profile_position.png",4,220,900)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-0.0721482511999999</v>
      </c>
      <c r="G1046" t="n">
        <v>0.1005322950629158</v>
      </c>
      <c r="H1046" t="n">
        <v>0.027533753874258</v>
      </c>
      <c r="I1046" t="n">
        <v>0.07661977687733849</v>
      </c>
      <c r="J1046" t="n">
        <v>0.0063449370576952</v>
      </c>
      <c r="K1046" t="n">
        <v>0.7529304826822633</v>
      </c>
      <c r="L1046" t="b">
        <v>0</v>
      </c>
      <c r="M1046" t="b">
        <v>0</v>
      </c>
      <c r="N1046" t="inlineStr">
        <is>
          <t>ref</t>
        </is>
      </c>
      <c r="O1046" t="n">
        <v>55</v>
      </c>
      <c r="P1046" t="n">
        <v>0.004013</v>
      </c>
      <c r="Q1046" t="n">
        <v>-50</v>
      </c>
      <c r="R1046" t="n">
        <v>0.08550000000000001</v>
      </c>
      <c r="S1046">
        <f>IMAGE("https://mitra.stanford.edu/kundaje/oak/projects/neuro-variants/variant_position/credible/roussos_2024/variant_figures/roussos_2024.infant.GLU/rs13378557_count_position.png",4,220,900)</f>
        <v/>
      </c>
      <c r="T1046">
        <f>IMAGE("https://mitra.stanford.edu/kundaje/oak/projects/neuro-variants/variant_position/credible/roussos_2024/variant_figures/roussos_2024.infant.GLU/rs13378557_profile_position.png",4,220,900)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-0.0972704444</v>
      </c>
      <c r="G1047" t="n">
        <v>0.0575985190014631</v>
      </c>
      <c r="H1047" t="n">
        <v>0.0332995504028726</v>
      </c>
      <c r="I1047" t="n">
        <v>0.0403389153936404</v>
      </c>
      <c r="J1047" t="n">
        <v>0.0318613726052161</v>
      </c>
      <c r="K1047" t="n">
        <v>0.4375509928345712</v>
      </c>
      <c r="L1047" t="b">
        <v>0</v>
      </c>
      <c r="M1047" t="b">
        <v>0</v>
      </c>
      <c r="N1047" t="inlineStr">
        <is>
          <t>ref</t>
        </is>
      </c>
      <c r="O1047" t="n">
        <v>-100</v>
      </c>
      <c r="P1047" t="n">
        <v>0.042</v>
      </c>
      <c r="Q1047" t="n">
        <v>15</v>
      </c>
      <c r="R1047" t="n">
        <v>0.04956</v>
      </c>
      <c r="S1047">
        <f>IMAGE("https://mitra.stanford.edu/kundaje/oak/projects/neuro-variants/variant_position/credible/roussos_2024/variant_figures/roussos_2024.infant.GLU/rs12874445_count_position.png",4,220,900)</f>
        <v/>
      </c>
      <c r="T1047">
        <f>IMAGE("https://mitra.stanford.edu/kundaje/oak/projects/neuro-variants/variant_position/credible/roussos_2024/variant_figures/roussos_2024.infant.GLU/rs12874445_profile_position.png",4,220,900)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-0.02617246172</v>
      </c>
      <c r="G1048" t="n">
        <v>0.3684907152330678</v>
      </c>
      <c r="H1048" t="n">
        <v>0.0551318708472073</v>
      </c>
      <c r="I1048" t="n">
        <v>0.0048802346371014</v>
      </c>
      <c r="J1048" t="n">
        <v>0.0237913093322162</v>
      </c>
      <c r="K1048" t="n">
        <v>0.5018442304161367</v>
      </c>
      <c r="L1048" t="b">
        <v>1</v>
      </c>
      <c r="M1048" t="b">
        <v>0</v>
      </c>
      <c r="N1048" t="inlineStr">
        <is>
          <t>ref</t>
        </is>
      </c>
      <c r="O1048" t="n">
        <v>-75</v>
      </c>
      <c r="P1048" t="n">
        <v>0.02649</v>
      </c>
      <c r="Q1048" t="n">
        <v>-75</v>
      </c>
      <c r="R1048" t="n">
        <v>0.0643</v>
      </c>
      <c r="S1048">
        <f>IMAGE("https://mitra.stanford.edu/kundaje/oak/projects/neuro-variants/variant_position/credible/roussos_2024/variant_figures/roussos_2024.infant.GLU/rs1341548_count_position.png",4,220,900)</f>
        <v/>
      </c>
      <c r="T1048">
        <f>IMAGE("https://mitra.stanford.edu/kundaje/oak/projects/neuro-variants/variant_position/credible/roussos_2024/variant_figures/roussos_2024.infant.GLU/rs1341548_profile_position.png",4,220,900)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-0.0124810834</v>
      </c>
      <c r="G1049" t="n">
        <v>0.586511007892958</v>
      </c>
      <c r="H1049" t="n">
        <v>0.0229509009080729</v>
      </c>
      <c r="I1049" t="n">
        <v>0.1272760046907338</v>
      </c>
      <c r="J1049" t="n">
        <v>0.1129599417976586</v>
      </c>
      <c r="K1049" t="n">
        <v>0.1955584331335323</v>
      </c>
      <c r="L1049" t="b">
        <v>0</v>
      </c>
      <c r="M1049" t="b">
        <v>0</v>
      </c>
      <c r="N1049" t="inlineStr">
        <is>
          <t>ref</t>
        </is>
      </c>
      <c r="O1049" t="n">
        <v>-65</v>
      </c>
      <c r="P1049" t="n">
        <v>0.1768</v>
      </c>
      <c r="Q1049" t="n">
        <v>50</v>
      </c>
      <c r="R1049" t="n">
        <v>0.05502</v>
      </c>
      <c r="S1049">
        <f>IMAGE("https://mitra.stanford.edu/kundaje/oak/projects/neuro-variants/variant_position/credible/roussos_2024/variant_figures/roussos_2024.infant.GLU/rs34927497_count_position.png",4,220,900)</f>
        <v/>
      </c>
      <c r="T1049">
        <f>IMAGE("https://mitra.stanford.edu/kundaje/oak/projects/neuro-variants/variant_position/credible/roussos_2024/variant_figures/roussos_2024.infant.GLU/rs34927497_profile_position.png",4,220,900)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-0.1503322899999999</v>
      </c>
      <c r="G1050" t="n">
        <v>0.0213176362965946</v>
      </c>
      <c r="H1050" t="n">
        <v>0.0529341284677977</v>
      </c>
      <c r="I1050" t="n">
        <v>0.0058632617556333</v>
      </c>
      <c r="J1050" t="n">
        <v>0.0272669150554465</v>
      </c>
      <c r="K1050" t="n">
        <v>0.5130813311905622</v>
      </c>
      <c r="L1050" t="b">
        <v>1</v>
      </c>
      <c r="M1050" t="b">
        <v>0</v>
      </c>
      <c r="N1050" t="inlineStr">
        <is>
          <t>ref</t>
        </is>
      </c>
      <c r="O1050" t="n">
        <v>-100</v>
      </c>
      <c r="P1050" t="n">
        <v>0.009889999999999999</v>
      </c>
      <c r="Q1050" t="n">
        <v>-80</v>
      </c>
      <c r="R1050" t="n">
        <v>0.09863</v>
      </c>
      <c r="S1050">
        <f>IMAGE("https://mitra.stanford.edu/kundaje/oak/projects/neuro-variants/variant_position/credible/roussos_2024/variant_figures/roussos_2024.infant.GLU/rs9563564_count_position.png",4,220,900)</f>
        <v/>
      </c>
      <c r="T1050">
        <f>IMAGE("https://mitra.stanford.edu/kundaje/oak/projects/neuro-variants/variant_position/credible/roussos_2024/variant_figures/roussos_2024.infant.GLU/rs9563564_profile_position.png",4,220,900)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-0.02778964204</v>
      </c>
      <c r="G1051" t="n">
        <v>0.3691556030508681</v>
      </c>
      <c r="H1051" t="n">
        <v>0.0164467066374508</v>
      </c>
      <c r="I1051" t="n">
        <v>0.2950846589433444</v>
      </c>
      <c r="J1051" t="n">
        <v>0.0174893626402698</v>
      </c>
      <c r="K1051" t="n">
        <v>0.5795472524931949</v>
      </c>
      <c r="L1051" t="b">
        <v>0</v>
      </c>
      <c r="M1051" t="b">
        <v>0</v>
      </c>
      <c r="N1051" t="inlineStr">
        <is>
          <t>ref</t>
        </is>
      </c>
      <c r="O1051" t="n">
        <v>75</v>
      </c>
      <c r="P1051" t="n">
        <v>0.01103</v>
      </c>
      <c r="Q1051" t="n">
        <v>45</v>
      </c>
      <c r="R1051" t="n">
        <v>0.0765</v>
      </c>
      <c r="S1051">
        <f>IMAGE("https://mitra.stanford.edu/kundaje/oak/projects/neuro-variants/variant_position/credible/roussos_2024/variant_figures/roussos_2024.infant.GLU/rs9569791_count_position.png",4,220,900)</f>
        <v/>
      </c>
      <c r="T1051">
        <f>IMAGE("https://mitra.stanford.edu/kundaje/oak/projects/neuro-variants/variant_position/credible/roussos_2024/variant_figures/roussos_2024.infant.GLU/rs9569791_profile_position.png",4,220,900)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-0.062086419</v>
      </c>
      <c r="G1052" t="n">
        <v>0.1200852037745883</v>
      </c>
      <c r="H1052" t="n">
        <v>0.012096457766022</v>
      </c>
      <c r="I1052" t="n">
        <v>0.5537140142411597</v>
      </c>
      <c r="J1052" t="n">
        <v>0.0458817434246786</v>
      </c>
      <c r="K1052" t="n">
        <v>0.3684894573901426</v>
      </c>
      <c r="L1052" t="b">
        <v>0</v>
      </c>
      <c r="M1052" t="b">
        <v>0</v>
      </c>
      <c r="N1052" t="inlineStr">
        <is>
          <t>ref</t>
        </is>
      </c>
      <c r="O1052" t="n">
        <v>100</v>
      </c>
      <c r="P1052" t="n">
        <v>0.185</v>
      </c>
      <c r="Q1052" t="n">
        <v>100</v>
      </c>
      <c r="R1052" t="n">
        <v>0.05902</v>
      </c>
      <c r="S1052">
        <f>IMAGE("https://mitra.stanford.edu/kundaje/oak/projects/neuro-variants/variant_position/credible/roussos_2024/variant_figures/roussos_2024.infant.GLU/rs9569794_count_position.png",4,220,900)</f>
        <v/>
      </c>
      <c r="T1052">
        <f>IMAGE("https://mitra.stanford.edu/kundaje/oak/projects/neuro-variants/variant_position/credible/roussos_2024/variant_figures/roussos_2024.infant.GLU/rs9569794_profile_position.png",4,220,900)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-0.230451468</v>
      </c>
      <c r="G1053" t="n">
        <v>0.007298674774555</v>
      </c>
      <c r="H1053" t="n">
        <v>0.0336942872676705</v>
      </c>
      <c r="I1053" t="n">
        <v>0.0405952621306233</v>
      </c>
      <c r="J1053" t="n">
        <v>0.171024493485306</v>
      </c>
      <c r="K1053" t="n">
        <v>0.1364442914742915</v>
      </c>
      <c r="L1053" t="b">
        <v>1</v>
      </c>
      <c r="M1053" t="b">
        <v>1</v>
      </c>
      <c r="N1053" t="inlineStr">
        <is>
          <t>ref</t>
        </is>
      </c>
      <c r="O1053" t="n">
        <v>50</v>
      </c>
      <c r="P1053" t="n">
        <v>0.004456</v>
      </c>
      <c r="Q1053" t="n">
        <v>-70</v>
      </c>
      <c r="R1053" t="n">
        <v>0.2268</v>
      </c>
      <c r="S1053">
        <f>IMAGE("https://mitra.stanford.edu/kundaje/oak/projects/neuro-variants/variant_position/credible/roussos_2024/variant_figures/roussos_2024.infant.GLU/rs9316967_count_position.png",4,220,900)</f>
        <v/>
      </c>
      <c r="T1053">
        <f>IMAGE("https://mitra.stanford.edu/kundaje/oak/projects/neuro-variants/variant_position/credible/roussos_2024/variant_figures/roussos_2024.infant.GLU/rs9316967_profile_position.png",4,220,900)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0.06396894879999999</v>
      </c>
      <c r="G1054" t="n">
        <v>0.1247756115028181</v>
      </c>
      <c r="H1054" t="n">
        <v>0.0125587594019132</v>
      </c>
      <c r="I1054" t="n">
        <v>0.5169080460461004</v>
      </c>
      <c r="J1054" t="n">
        <v>0.0198097400736347</v>
      </c>
      <c r="K1054" t="n">
        <v>0.5331506394106656</v>
      </c>
      <c r="L1054" t="b">
        <v>0</v>
      </c>
      <c r="M1054" t="b">
        <v>0</v>
      </c>
      <c r="N1054" t="inlineStr">
        <is>
          <t>alt</t>
        </is>
      </c>
      <c r="O1054" t="n">
        <v>-25</v>
      </c>
      <c r="P1054" t="n">
        <v>0.012695</v>
      </c>
      <c r="Q1054" t="n">
        <v>-20</v>
      </c>
      <c r="R1054" t="n">
        <v>0.02234</v>
      </c>
      <c r="S1054">
        <f>IMAGE("https://mitra.stanford.edu/kundaje/oak/projects/neuro-variants/variant_position/credible/roussos_2024/variant_figures/roussos_2024.infant.GLU/rs9634882_count_position.png",4,220,900)</f>
        <v/>
      </c>
      <c r="T1054">
        <f>IMAGE("https://mitra.stanford.edu/kundaje/oak/projects/neuro-variants/variant_position/credible/roussos_2024/variant_figures/roussos_2024.infant.GLU/rs9634882_profile_position.png",4,220,900)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0.160053656</v>
      </c>
      <c r="G1055" t="n">
        <v>0.0192457295489236</v>
      </c>
      <c r="H1055" t="n">
        <v>0.0213527751273022</v>
      </c>
      <c r="I1055" t="n">
        <v>0.1654531192796449</v>
      </c>
      <c r="J1055" t="n">
        <v>0.08353358760113749</v>
      </c>
      <c r="K1055" t="n">
        <v>0.2538965457809151</v>
      </c>
      <c r="L1055" t="b">
        <v>1</v>
      </c>
      <c r="M1055" t="b">
        <v>0</v>
      </c>
      <c r="N1055" t="inlineStr">
        <is>
          <t>alt</t>
        </is>
      </c>
      <c r="O1055" t="n">
        <v>85</v>
      </c>
      <c r="P1055" t="n">
        <v>0.009795999999999999</v>
      </c>
      <c r="Q1055" t="n">
        <v>-100</v>
      </c>
      <c r="R1055" t="n">
        <v>0.0669</v>
      </c>
      <c r="S1055">
        <f>IMAGE("https://mitra.stanford.edu/kundaje/oak/projects/neuro-variants/variant_position/credible/roussos_2024/variant_figures/roussos_2024.infant.GLU/rs11148423_count_position.png",4,220,900)</f>
        <v/>
      </c>
      <c r="T1055">
        <f>IMAGE("https://mitra.stanford.edu/kundaje/oak/projects/neuro-variants/variant_position/credible/roussos_2024/variant_figures/roussos_2024.infant.GLU/rs11148423_profile_position.png",4,220,900)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-0.0916232996</v>
      </c>
      <c r="G1056" t="n">
        <v>0.0703540920830064</v>
      </c>
      <c r="H1056" t="n">
        <v>0.036147918167434</v>
      </c>
      <c r="I1056" t="n">
        <v>0.0301603701406168</v>
      </c>
      <c r="J1056" t="n">
        <v>0.0216318701911417</v>
      </c>
      <c r="K1056" t="n">
        <v>0.520687520733088</v>
      </c>
      <c r="L1056" t="b">
        <v>0</v>
      </c>
      <c r="M1056" t="b">
        <v>0</v>
      </c>
      <c r="N1056" t="inlineStr">
        <is>
          <t>ref</t>
        </is>
      </c>
      <c r="O1056" t="n">
        <v>-100</v>
      </c>
      <c r="P1056" t="n">
        <v>0.03186</v>
      </c>
      <c r="Q1056" t="n">
        <v>20</v>
      </c>
      <c r="R1056" t="n">
        <v>0.0341</v>
      </c>
      <c r="S1056">
        <f>IMAGE("https://mitra.stanford.edu/kundaje/oak/projects/neuro-variants/variant_position/credible/roussos_2024/variant_figures/roussos_2024.infant.GLU/rs7998206_count_position.png",4,220,900)</f>
        <v/>
      </c>
      <c r="T1056">
        <f>IMAGE("https://mitra.stanford.edu/kundaje/oak/projects/neuro-variants/variant_position/credible/roussos_2024/variant_figures/roussos_2024.infant.GLU/rs7998206_profile_position.png",4,220,900)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0.06058729</v>
      </c>
      <c r="G1057" t="n">
        <v>0.1245141938285391</v>
      </c>
      <c r="H1057" t="n">
        <v>0.0074581577130289</v>
      </c>
      <c r="I1057" t="n">
        <v>0.9292404814544548</v>
      </c>
      <c r="J1057" t="n">
        <v>0.0086454727837915</v>
      </c>
      <c r="K1057" t="n">
        <v>0.678431227105895</v>
      </c>
      <c r="L1057" t="b">
        <v>0</v>
      </c>
      <c r="M1057" t="b">
        <v>0</v>
      </c>
      <c r="N1057" t="inlineStr">
        <is>
          <t>alt</t>
        </is>
      </c>
      <c r="O1057" t="n">
        <v>-85</v>
      </c>
      <c r="P1057" t="n">
        <v>0.013336</v>
      </c>
      <c r="Q1057" t="n">
        <v>30</v>
      </c>
      <c r="R1057" t="n">
        <v>0.00731</v>
      </c>
      <c r="S1057">
        <f>IMAGE("https://mitra.stanford.edu/kundaje/oak/projects/neuro-variants/variant_position/credible/roussos_2024/variant_figures/roussos_2024.infant.GLU/rs9563574_count_position.png",4,220,900)</f>
        <v/>
      </c>
      <c r="T1057">
        <f>IMAGE("https://mitra.stanford.edu/kundaje/oak/projects/neuro-variants/variant_position/credible/roussos_2024/variant_figures/roussos_2024.infant.GLU/rs9563574_profile_position.png",4,220,900)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-0.087776937</v>
      </c>
      <c r="G1058" t="n">
        <v>0.064241957236695</v>
      </c>
      <c r="H1058" t="n">
        <v>0.0614365373003518</v>
      </c>
      <c r="I1058" t="n">
        <v>0.0026963424849658</v>
      </c>
      <c r="J1058" t="n">
        <v>0.0765812738376066</v>
      </c>
      <c r="K1058" t="n">
        <v>0.2562163384277801</v>
      </c>
      <c r="L1058" t="b">
        <v>1</v>
      </c>
      <c r="M1058" t="b">
        <v>1</v>
      </c>
      <c r="N1058" t="inlineStr">
        <is>
          <t>ref</t>
        </is>
      </c>
      <c r="O1058" t="n">
        <v>-100</v>
      </c>
      <c r="P1058" t="n">
        <v>0.009809999999999999</v>
      </c>
      <c r="Q1058" t="n">
        <v>-35</v>
      </c>
      <c r="R1058" t="n">
        <v>0.02856</v>
      </c>
      <c r="S1058">
        <f>IMAGE("https://mitra.stanford.edu/kundaje/oak/projects/neuro-variants/variant_position/credible/roussos_2024/variant_figures/roussos_2024.infant.GLU/rs9569815_count_position.png",4,220,900)</f>
        <v/>
      </c>
      <c r="T1058">
        <f>IMAGE("https://mitra.stanford.edu/kundaje/oak/projects/neuro-variants/variant_position/credible/roussos_2024/variant_figures/roussos_2024.infant.GLU/rs9569815_profile_position.png",4,220,900)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-0.00508517136</v>
      </c>
      <c r="G1059" t="n">
        <v>0.7524231578974288</v>
      </c>
      <c r="H1059" t="n">
        <v>0.0395804737834373</v>
      </c>
      <c r="I1059" t="n">
        <v>0.0210400329494261</v>
      </c>
      <c r="J1059" t="n">
        <v>0.298047796468176</v>
      </c>
      <c r="K1059" t="n">
        <v>0.06828542033124969</v>
      </c>
      <c r="L1059" t="b">
        <v>0</v>
      </c>
      <c r="M1059" t="b">
        <v>0</v>
      </c>
      <c r="N1059" t="inlineStr">
        <is>
          <t>ref</t>
        </is>
      </c>
      <c r="O1059" t="n">
        <v>-40</v>
      </c>
      <c r="P1059" t="n">
        <v>0.009339999999999999</v>
      </c>
      <c r="Q1059" t="n">
        <v>-95</v>
      </c>
      <c r="R1059" t="n">
        <v>0.2318</v>
      </c>
      <c r="S1059">
        <f>IMAGE("https://mitra.stanford.edu/kundaje/oak/projects/neuro-variants/variant_position/credible/roussos_2024/variant_figures/roussos_2024.infant.GLU/rs34723208_count_position.png",4,220,900)</f>
        <v/>
      </c>
      <c r="T1059">
        <f>IMAGE("https://mitra.stanford.edu/kundaje/oak/projects/neuro-variants/variant_position/credible/roussos_2024/variant_figures/roussos_2024.infant.GLU/rs34723208_profile_position.png",4,220,900)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-0.00018173892</v>
      </c>
      <c r="G1060" t="n">
        <v>0.8060935228977979</v>
      </c>
      <c r="H1060" t="n">
        <v>0.042427788787263</v>
      </c>
      <c r="I1060" t="n">
        <v>0.0159889007638651</v>
      </c>
      <c r="J1060" t="n">
        <v>0.0294230472453096</v>
      </c>
      <c r="K1060" t="n">
        <v>0.4558201918182171</v>
      </c>
      <c r="L1060" t="b">
        <v>1</v>
      </c>
      <c r="M1060" t="b">
        <v>0</v>
      </c>
      <c r="N1060" t="inlineStr">
        <is>
          <t>ref</t>
        </is>
      </c>
      <c r="O1060" t="n">
        <v>80</v>
      </c>
      <c r="P1060" t="n">
        <v>0.0558</v>
      </c>
      <c r="Q1060" t="n">
        <v>-50</v>
      </c>
      <c r="R1060" t="n">
        <v>0.1421</v>
      </c>
      <c r="S1060">
        <f>IMAGE("https://mitra.stanford.edu/kundaje/oak/projects/neuro-variants/variant_position/credible/roussos_2024/variant_figures/roussos_2024.infant.GLU/rs7989885_count_position.png",4,220,900)</f>
        <v/>
      </c>
      <c r="T1060">
        <f>IMAGE("https://mitra.stanford.edu/kundaje/oak/projects/neuro-variants/variant_position/credible/roussos_2024/variant_figures/roussos_2024.infant.GLU/rs7989885_profile_position.png",4,220,900)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-0.0594726978</v>
      </c>
      <c r="G1061" t="n">
        <v>0.1285635341425506</v>
      </c>
      <c r="H1061" t="n">
        <v>0.0447793208720704</v>
      </c>
      <c r="I1061" t="n">
        <v>0.0126661247973527</v>
      </c>
      <c r="J1061" t="n">
        <v>0.4575784298595648</v>
      </c>
      <c r="K1061" t="n">
        <v>0.0362526606685325</v>
      </c>
      <c r="L1061" t="b">
        <v>1</v>
      </c>
      <c r="M1061" t="b">
        <v>0</v>
      </c>
      <c r="N1061" t="inlineStr">
        <is>
          <t>ref</t>
        </is>
      </c>
      <c r="O1061" t="n">
        <v>-75</v>
      </c>
      <c r="P1061" t="n">
        <v>0.03693</v>
      </c>
      <c r="Q1061" t="n">
        <v>-95</v>
      </c>
      <c r="R1061" t="n">
        <v>0.03198</v>
      </c>
      <c r="S1061">
        <f>IMAGE("https://mitra.stanford.edu/kundaje/oak/projects/neuro-variants/variant_position/credible/roussos_2024/variant_figures/roussos_2024.infant.GLU/rs4886061_count_position.png",4,220,900)</f>
        <v/>
      </c>
      <c r="T1061">
        <f>IMAGE("https://mitra.stanford.edu/kundaje/oak/projects/neuro-variants/variant_position/credible/roussos_2024/variant_figures/roussos_2024.infant.GLU/rs4886061_profile_position.png",4,220,900)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-0.08858890899999999</v>
      </c>
      <c r="G1062" t="n">
        <v>0.0639187600177912</v>
      </c>
      <c r="H1062" t="n">
        <v>0.0500956191082711</v>
      </c>
      <c r="I1062" t="n">
        <v>0.0075966883718436</v>
      </c>
      <c r="J1062" t="n">
        <v>0.4574792213232214</v>
      </c>
      <c r="K1062" t="n">
        <v>0.0362663865843085</v>
      </c>
      <c r="L1062" t="b">
        <v>1</v>
      </c>
      <c r="M1062" t="b">
        <v>1</v>
      </c>
      <c r="N1062" t="inlineStr">
        <is>
          <t>ref</t>
        </is>
      </c>
      <c r="O1062" t="n">
        <v>-100</v>
      </c>
      <c r="P1062" t="n">
        <v>0.04617</v>
      </c>
      <c r="Q1062" t="n">
        <v>-70</v>
      </c>
      <c r="R1062" t="n">
        <v>0.07153</v>
      </c>
      <c r="S1062">
        <f>IMAGE("https://mitra.stanford.edu/kundaje/oak/projects/neuro-variants/variant_position/credible/roussos_2024/variant_figures/roussos_2024.infant.GLU/rs66514580_count_position.png",4,220,900)</f>
        <v/>
      </c>
      <c r="T1062">
        <f>IMAGE("https://mitra.stanford.edu/kundaje/oak/projects/neuro-variants/variant_position/credible/roussos_2024/variant_figures/roussos_2024.infant.GLU/rs66514580_profile_position.png",4,220,900)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0.0394151076</v>
      </c>
      <c r="G1063" t="n">
        <v>0.2686460701248586</v>
      </c>
      <c r="H1063" t="n">
        <v>0.0264119791107938</v>
      </c>
      <c r="I1063" t="n">
        <v>0.085856884939286</v>
      </c>
      <c r="J1063" t="n">
        <v>0.0549009016953636</v>
      </c>
      <c r="K1063" t="n">
        <v>0.3211095281903266</v>
      </c>
      <c r="L1063" t="b">
        <v>0</v>
      </c>
      <c r="M1063" t="b">
        <v>0</v>
      </c>
      <c r="N1063" t="inlineStr">
        <is>
          <t>alt</t>
        </is>
      </c>
      <c r="O1063" t="n">
        <v>100</v>
      </c>
      <c r="P1063" t="n">
        <v>0.004356</v>
      </c>
      <c r="Q1063" t="n">
        <v>-10</v>
      </c>
      <c r="R1063" t="n">
        <v>0.01889</v>
      </c>
      <c r="S1063">
        <f>IMAGE("https://mitra.stanford.edu/kundaje/oak/projects/neuro-variants/variant_position/credible/roussos_2024/variant_figures/roussos_2024.infant.GLU/rs4884299_count_position.png",4,220,900)</f>
        <v/>
      </c>
      <c r="T1063">
        <f>IMAGE("https://mitra.stanford.edu/kundaje/oak/projects/neuro-variants/variant_position/credible/roussos_2024/variant_figures/roussos_2024.infant.GLU/rs4884299_profile_position.png",4,220,900)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-0.0062296153999999</v>
      </c>
      <c r="G1064" t="n">
        <v>0.2034176624643774</v>
      </c>
      <c r="H1064" t="n">
        <v>0.0130927755902002</v>
      </c>
      <c r="I1064" t="n">
        <v>0.4768553688741863</v>
      </c>
      <c r="J1064" t="n">
        <v>0.0191373266606406</v>
      </c>
      <c r="K1064" t="n">
        <v>0.5786442102320636</v>
      </c>
      <c r="L1064" t="b">
        <v>0</v>
      </c>
      <c r="M1064" t="b">
        <v>0</v>
      </c>
      <c r="N1064" t="inlineStr">
        <is>
          <t>ref</t>
        </is>
      </c>
      <c r="O1064" t="n">
        <v>-15</v>
      </c>
      <c r="P1064" t="n">
        <v>0.001297</v>
      </c>
      <c r="Q1064" t="n">
        <v>-10</v>
      </c>
      <c r="R1064" t="n">
        <v>0.02832</v>
      </c>
      <c r="S1064">
        <f>IMAGE("https://mitra.stanford.edu/kundaje/oak/projects/neuro-variants/variant_position/credible/roussos_2024/variant_figures/roussos_2024.infant.GLU/rs56313517_count_position.png",4,220,900)</f>
        <v/>
      </c>
      <c r="T1064">
        <f>IMAGE("https://mitra.stanford.edu/kundaje/oak/projects/neuro-variants/variant_position/credible/roussos_2024/variant_figures/roussos_2024.infant.GLU/rs56313517_profile_position.png",4,220,900)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0.0410360548</v>
      </c>
      <c r="G1065" t="n">
        <v>0.2228588062678549</v>
      </c>
      <c r="H1065" t="n">
        <v>0.0173070857859523</v>
      </c>
      <c r="I1065" t="n">
        <v>0.2701315478033841</v>
      </c>
      <c r="J1065" t="n">
        <v>0.0186986044665887</v>
      </c>
      <c r="K1065" t="n">
        <v>0.5496016167375799</v>
      </c>
      <c r="L1065" t="b">
        <v>0</v>
      </c>
      <c r="M1065" t="b">
        <v>0</v>
      </c>
      <c r="N1065" t="inlineStr">
        <is>
          <t>alt</t>
        </is>
      </c>
      <c r="O1065" t="n">
        <v>70</v>
      </c>
      <c r="P1065" t="n">
        <v>0.00886</v>
      </c>
      <c r="Q1065" t="n">
        <v>10</v>
      </c>
      <c r="R1065" t="n">
        <v>0.0001984</v>
      </c>
      <c r="S1065">
        <f>IMAGE("https://mitra.stanford.edu/kundaje/oak/projects/neuro-variants/variant_position/credible/roussos_2024/variant_figures/roussos_2024.infant.GLU/rs9571511_count_position.png",4,220,900)</f>
        <v/>
      </c>
      <c r="T1065">
        <f>IMAGE("https://mitra.stanford.edu/kundaje/oak/projects/neuro-variants/variant_position/credible/roussos_2024/variant_figures/roussos_2024.infant.GLU/rs9571511_profile_position.png",4,220,900)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0.008631915</v>
      </c>
      <c r="G1066" t="n">
        <v>0.6697386729971573</v>
      </c>
      <c r="H1066" t="n">
        <v>0.0091256379767348</v>
      </c>
      <c r="I1066" t="n">
        <v>0.8239453869324768</v>
      </c>
      <c r="J1066" t="n">
        <v>0.0092363147335699</v>
      </c>
      <c r="K1066" t="n">
        <v>0.6743604692538577</v>
      </c>
      <c r="L1066" t="b">
        <v>0</v>
      </c>
      <c r="M1066" t="b">
        <v>0</v>
      </c>
      <c r="N1066" t="inlineStr">
        <is>
          <t>alt</t>
        </is>
      </c>
      <c r="O1066" t="n">
        <v>-60</v>
      </c>
      <c r="P1066" t="n">
        <v>0.00405</v>
      </c>
      <c r="Q1066" t="n">
        <v>-85</v>
      </c>
      <c r="R1066" t="n">
        <v>0.2383</v>
      </c>
      <c r="S1066">
        <f>IMAGE("https://mitra.stanford.edu/kundaje/oak/projects/neuro-variants/variant_position/credible/roussos_2024/variant_figures/roussos_2024.infant.GLU/rs9545047_count_position.png",4,220,900)</f>
        <v/>
      </c>
      <c r="T1066">
        <f>IMAGE("https://mitra.stanford.edu/kundaje/oak/projects/neuro-variants/variant_position/credible/roussos_2024/variant_figures/roussos_2024.infant.GLU/rs9545047_profile_position.png",4,220,900)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-0.0503581692</v>
      </c>
      <c r="G1067" t="n">
        <v>0.1674367107675151</v>
      </c>
      <c r="H1067" t="n">
        <v>0.0414898017018471</v>
      </c>
      <c r="I1067" t="n">
        <v>0.0173476972946863</v>
      </c>
      <c r="J1067" t="n">
        <v>0.0043773010868845</v>
      </c>
      <c r="K1067" t="n">
        <v>0.7798585142459923</v>
      </c>
      <c r="L1067" t="b">
        <v>0</v>
      </c>
      <c r="M1067" t="b">
        <v>0</v>
      </c>
      <c r="N1067" t="inlineStr">
        <is>
          <t>ref</t>
        </is>
      </c>
      <c r="O1067" t="n">
        <v>35</v>
      </c>
      <c r="P1067" t="n">
        <v>0.0028</v>
      </c>
      <c r="Q1067" t="n">
        <v>-20</v>
      </c>
      <c r="R1067" t="n">
        <v>0.01732</v>
      </c>
      <c r="S1067">
        <f>IMAGE("https://mitra.stanford.edu/kundaje/oak/projects/neuro-variants/variant_position/credible/roussos_2024/variant_figures/roussos_2024.infant.GLU/rs9545087_count_position.png",4,220,900)</f>
        <v/>
      </c>
      <c r="T1067">
        <f>IMAGE("https://mitra.stanford.edu/kundaje/oak/projects/neuro-variants/variant_position/credible/roussos_2024/variant_figures/roussos_2024.infant.GLU/rs9545087_profile_position.png",4,220,900)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-0.01228750732</v>
      </c>
      <c r="G1068" t="n">
        <v>0.5898686673705502</v>
      </c>
      <c r="H1068" t="n">
        <v>0.0303515754283754</v>
      </c>
      <c r="I1068" t="n">
        <v>0.0557418223003982</v>
      </c>
      <c r="J1068" t="n">
        <v>0.0253918737185563</v>
      </c>
      <c r="K1068" t="n">
        <v>0.485846660891324</v>
      </c>
      <c r="L1068" t="b">
        <v>0</v>
      </c>
      <c r="M1068" t="b">
        <v>0</v>
      </c>
      <c r="N1068" t="inlineStr">
        <is>
          <t>ref</t>
        </is>
      </c>
      <c r="O1068" t="n">
        <v>60</v>
      </c>
      <c r="P1068" t="n">
        <v>0.0279</v>
      </c>
      <c r="Q1068" t="n">
        <v>100</v>
      </c>
      <c r="R1068" t="n">
        <v>0.0687</v>
      </c>
      <c r="S1068">
        <f>IMAGE("https://mitra.stanford.edu/kundaje/oak/projects/neuro-variants/variant_position/credible/roussos_2024/variant_figures/roussos_2024.infant.GLU/rs9530904_count_position.png",4,220,900)</f>
        <v/>
      </c>
      <c r="T1068">
        <f>IMAGE("https://mitra.stanford.edu/kundaje/oak/projects/neuro-variants/variant_position/credible/roussos_2024/variant_figures/roussos_2024.infant.GLU/rs9530904_profile_position.png",4,220,900)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0.066817919</v>
      </c>
      <c r="G1069" t="n">
        <v>0.1135614894160266</v>
      </c>
      <c r="H1069" t="n">
        <v>0.0341677453114834</v>
      </c>
      <c r="I1069" t="n">
        <v>0.0369583180839782</v>
      </c>
      <c r="J1069" t="n">
        <v>0.0157906920346568</v>
      </c>
      <c r="K1069" t="n">
        <v>0.5793713914223473</v>
      </c>
      <c r="L1069" t="b">
        <v>0</v>
      </c>
      <c r="M1069" t="b">
        <v>0</v>
      </c>
      <c r="N1069" t="inlineStr">
        <is>
          <t>alt</t>
        </is>
      </c>
      <c r="O1069" t="n">
        <v>30</v>
      </c>
      <c r="P1069" t="n">
        <v>0.00585</v>
      </c>
      <c r="Q1069" t="n">
        <v>-80</v>
      </c>
      <c r="R1069" t="n">
        <v>0.06415</v>
      </c>
      <c r="S1069">
        <f>IMAGE("https://mitra.stanford.edu/kundaje/oak/projects/neuro-variants/variant_position/credible/roussos_2024/variant_figures/roussos_2024.infant.GLU/rs9545108_count_position.png",4,220,900)</f>
        <v/>
      </c>
      <c r="T1069">
        <f>IMAGE("https://mitra.stanford.edu/kundaje/oak/projects/neuro-variants/variant_position/credible/roussos_2024/variant_figures/roussos_2024.infant.GLU/rs9545108_profile_position.png",4,220,900)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-0.01627653912</v>
      </c>
      <c r="G1070" t="n">
        <v>0.514405914033554</v>
      </c>
      <c r="H1070" t="n">
        <v>0.0091540851838855</v>
      </c>
      <c r="I1070" t="n">
        <v>0.8028603714218037</v>
      </c>
      <c r="J1070" t="n">
        <v>0.035661059547168</v>
      </c>
      <c r="K1070" t="n">
        <v>0.419160892203275</v>
      </c>
      <c r="L1070" t="b">
        <v>0</v>
      </c>
      <c r="M1070" t="b">
        <v>0</v>
      </c>
      <c r="N1070" t="inlineStr">
        <is>
          <t>ref</t>
        </is>
      </c>
      <c r="O1070" t="n">
        <v>-55</v>
      </c>
      <c r="P1070" t="n">
        <v>0.004734</v>
      </c>
      <c r="Q1070" t="n">
        <v>5</v>
      </c>
      <c r="R1070" t="n">
        <v>0.003174</v>
      </c>
      <c r="S1070">
        <f>IMAGE("https://mitra.stanford.edu/kundaje/oak/projects/neuro-variants/variant_position/credible/roussos_2024/variant_figures/roussos_2024.infant.GLU/rs9574422_count_position.png",4,220,900)</f>
        <v/>
      </c>
      <c r="T1070">
        <f>IMAGE("https://mitra.stanford.edu/kundaje/oak/projects/neuro-variants/variant_position/credible/roussos_2024/variant_figures/roussos_2024.infant.GLU/rs9574422_profile_position.png",4,220,900)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-0.005495075435</v>
      </c>
      <c r="G1071" t="n">
        <v>0.7023130714235292</v>
      </c>
      <c r="H1071" t="n">
        <v>0.0367825323880148</v>
      </c>
      <c r="I1071" t="n">
        <v>0.0280111107675206</v>
      </c>
      <c r="J1071" t="n">
        <v>0.0247844970127207</v>
      </c>
      <c r="K1071" t="n">
        <v>0.5011071230489141</v>
      </c>
      <c r="L1071" t="b">
        <v>0</v>
      </c>
      <c r="M1071" t="b">
        <v>0</v>
      </c>
      <c r="N1071" t="inlineStr">
        <is>
          <t>ref</t>
        </is>
      </c>
      <c r="O1071" t="n">
        <v>-5</v>
      </c>
      <c r="P1071" t="n">
        <v>0.001331</v>
      </c>
      <c r="Q1071" t="n">
        <v>-75</v>
      </c>
      <c r="R1071" t="n">
        <v>0.03497</v>
      </c>
      <c r="S1071">
        <f>IMAGE("https://mitra.stanford.edu/kundaje/oak/projects/neuro-variants/variant_position/credible/roussos_2024/variant_figures/roussos_2024.infant.GLU/rs1840492_count_position.png",4,220,900)</f>
        <v/>
      </c>
      <c r="T1071">
        <f>IMAGE("https://mitra.stanford.edu/kundaje/oak/projects/neuro-variants/variant_position/credible/roussos_2024/variant_figures/roussos_2024.infant.GLU/rs1840492_profile_position.png",4,220,900)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-0.029724947</v>
      </c>
      <c r="G1072" t="n">
        <v>0.3298765154398678</v>
      </c>
      <c r="H1072" t="n">
        <v>0.0117310831624036</v>
      </c>
      <c r="I1072" t="n">
        <v>0.579242427003011</v>
      </c>
      <c r="J1072" t="n">
        <v>0.0116746400934764</v>
      </c>
      <c r="K1072" t="n">
        <v>0.6420023608086713</v>
      </c>
      <c r="L1072" t="b">
        <v>0</v>
      </c>
      <c r="M1072" t="b">
        <v>0</v>
      </c>
      <c r="N1072" t="inlineStr">
        <is>
          <t>ref</t>
        </is>
      </c>
      <c r="O1072" t="n">
        <v>85</v>
      </c>
      <c r="P1072" t="n">
        <v>0.00447</v>
      </c>
      <c r="Q1072" t="n">
        <v>30</v>
      </c>
      <c r="R1072" t="n">
        <v>0.02643</v>
      </c>
      <c r="S1072">
        <f>IMAGE("https://mitra.stanford.edu/kundaje/oak/projects/neuro-variants/variant_position/credible/roussos_2024/variant_figures/roussos_2024.infant.GLU/rs2347140_count_position.png",4,220,900)</f>
        <v/>
      </c>
      <c r="T1072">
        <f>IMAGE("https://mitra.stanford.edu/kundaje/oak/projects/neuro-variants/variant_position/credible/roussos_2024/variant_figures/roussos_2024.infant.GLU/rs2347140_profile_position.png",4,220,900)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-0.1622050126</v>
      </c>
      <c r="G1073" t="n">
        <v>0.0254754638325033</v>
      </c>
      <c r="H1073" t="n">
        <v>0.0243642768711031</v>
      </c>
      <c r="I1073" t="n">
        <v>0.117006759956022</v>
      </c>
      <c r="J1073" t="n">
        <v>0.0559977071804933</v>
      </c>
      <c r="K1073" t="n">
        <v>0.3389403445243993</v>
      </c>
      <c r="L1073" t="b">
        <v>0</v>
      </c>
      <c r="M1073" t="b">
        <v>0</v>
      </c>
      <c r="N1073" t="inlineStr">
        <is>
          <t>ref</t>
        </is>
      </c>
      <c r="O1073" t="n">
        <v>-95</v>
      </c>
      <c r="P1073" t="n">
        <v>0.0101</v>
      </c>
      <c r="Q1073" t="n">
        <v>-100</v>
      </c>
      <c r="R1073" t="n">
        <v>0.1649</v>
      </c>
      <c r="S1073">
        <f>IMAGE("https://mitra.stanford.edu/kundaje/oak/projects/neuro-variants/variant_position/credible/roussos_2024/variant_figures/roussos_2024.infant.GLU/rs396977_count_position.png",4,220,900)</f>
        <v/>
      </c>
      <c r="T1073">
        <f>IMAGE("https://mitra.stanford.edu/kundaje/oak/projects/neuro-variants/variant_position/credible/roussos_2024/variant_figures/roussos_2024.infant.GLU/rs396977_profile_position.png",4,220,900)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-0.018592797116</v>
      </c>
      <c r="G1074" t="n">
        <v>0.4930991928765618</v>
      </c>
      <c r="H1074" t="n">
        <v>0.0287867394833473</v>
      </c>
      <c r="I1074" t="n">
        <v>0.06610524109220201</v>
      </c>
      <c r="J1074" t="n">
        <v>0.047739147688441</v>
      </c>
      <c r="K1074" t="n">
        <v>0.3629360221586067</v>
      </c>
      <c r="L1074" t="b">
        <v>0</v>
      </c>
      <c r="M1074" t="b">
        <v>0</v>
      </c>
      <c r="N1074" t="inlineStr">
        <is>
          <t>ref</t>
        </is>
      </c>
      <c r="O1074" t="n">
        <v>95</v>
      </c>
      <c r="P1074" t="n">
        <v>0.05273</v>
      </c>
      <c r="Q1074" t="n">
        <v>75</v>
      </c>
      <c r="R1074" t="n">
        <v>0.133</v>
      </c>
      <c r="S1074">
        <f>IMAGE("https://mitra.stanford.edu/kundaje/oak/projects/neuro-variants/variant_position/credible/roussos_2024/variant_figures/roussos_2024.infant.GLU/rs430275_count_position.png",4,220,900)</f>
        <v/>
      </c>
      <c r="T1074">
        <f>IMAGE("https://mitra.stanford.edu/kundaje/oak/projects/neuro-variants/variant_position/credible/roussos_2024/variant_figures/roussos_2024.infant.GLU/rs430275_profile_position.png",4,220,900)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0.0687685178</v>
      </c>
      <c r="G1075" t="n">
        <v>0.1009777785742672</v>
      </c>
      <c r="H1075" t="n">
        <v>0.0138737309371605</v>
      </c>
      <c r="I1075" t="n">
        <v>0.4246496900984454</v>
      </c>
      <c r="J1075" t="n">
        <v>0.07152715006944591</v>
      </c>
      <c r="K1075" t="n">
        <v>0.2714232209780726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0.1439</v>
      </c>
      <c r="Q1075" t="n">
        <v>-100</v>
      </c>
      <c r="R1075" t="n">
        <v>0.05298</v>
      </c>
      <c r="S1075">
        <f>IMAGE("https://mitra.stanford.edu/kundaje/oak/projects/neuro-variants/variant_position/credible/roussos_2024/variant_figures/roussos_2024.infant.GLU/rs338708_count_position.png",4,220,900)</f>
        <v/>
      </c>
      <c r="T1075">
        <f>IMAGE("https://mitra.stanford.edu/kundaje/oak/projects/neuro-variants/variant_position/credible/roussos_2024/variant_figures/roussos_2024.infant.GLU/rs338708_profile_position.png",4,220,900)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-0.056890359</v>
      </c>
      <c r="G1076" t="n">
        <v>0.1724602614180367</v>
      </c>
      <c r="H1076" t="n">
        <v>0.0298646282669739</v>
      </c>
      <c r="I1076" t="n">
        <v>0.0609918520501344</v>
      </c>
      <c r="J1076" t="n">
        <v>0.0686512048325579</v>
      </c>
      <c r="K1076" t="n">
        <v>0.2765968104077151</v>
      </c>
      <c r="L1076" t="b">
        <v>0</v>
      </c>
      <c r="M1076" t="b">
        <v>0</v>
      </c>
      <c r="N1076" t="inlineStr">
        <is>
          <t>ref</t>
        </is>
      </c>
      <c r="O1076" t="n">
        <v>80</v>
      </c>
      <c r="P1076" t="n">
        <v>0.0339</v>
      </c>
      <c r="Q1076" t="n">
        <v>-5</v>
      </c>
      <c r="R1076" t="n">
        <v>0.03117</v>
      </c>
      <c r="S1076">
        <f>IMAGE("https://mitra.stanford.edu/kundaje/oak/projects/neuro-variants/variant_position/credible/roussos_2024/variant_figures/roussos_2024.infant.GLU/rs447791_count_position.png",4,220,900)</f>
        <v/>
      </c>
      <c r="T1076">
        <f>IMAGE("https://mitra.stanford.edu/kundaje/oak/projects/neuro-variants/variant_position/credible/roussos_2024/variant_figures/roussos_2024.infant.GLU/rs447791_profile_position.png",4,220,900)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0.00028312318</v>
      </c>
      <c r="G1077" t="n">
        <v>0.5744070459118573</v>
      </c>
      <c r="H1077" t="n">
        <v>0.0419593965845567</v>
      </c>
      <c r="I1077" t="n">
        <v>0.0166203038731464</v>
      </c>
      <c r="J1077" t="n">
        <v>0.2436616768447276</v>
      </c>
      <c r="K1077" t="n">
        <v>0.08686879671756199</v>
      </c>
      <c r="L1077" t="b">
        <v>1</v>
      </c>
      <c r="M1077" t="b">
        <v>0</v>
      </c>
      <c r="N1077" t="inlineStr">
        <is>
          <t>alt</t>
        </is>
      </c>
      <c r="O1077" t="n">
        <v>-80</v>
      </c>
      <c r="P1077" t="n">
        <v>0.01364</v>
      </c>
      <c r="Q1077" t="n">
        <v>-25</v>
      </c>
      <c r="R1077" t="n">
        <v>0.04468</v>
      </c>
      <c r="S1077">
        <f>IMAGE("https://mitra.stanford.edu/kundaje/oak/projects/neuro-variants/variant_position/credible/roussos_2024/variant_figures/roussos_2024.infant.GLU/rs338704_count_position.png",4,220,900)</f>
        <v/>
      </c>
      <c r="T1077">
        <f>IMAGE("https://mitra.stanford.edu/kundaje/oak/projects/neuro-variants/variant_position/credible/roussos_2024/variant_figures/roussos_2024.infant.GLU/rs338704_profile_position.png",4,220,900)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0.0496794756</v>
      </c>
      <c r="G1078" t="n">
        <v>0.1644482637352625</v>
      </c>
      <c r="H1078" t="n">
        <v>0.0103704420062052</v>
      </c>
      <c r="I1078" t="n">
        <v>0.7038875897536617</v>
      </c>
      <c r="J1078" t="n">
        <v>0.7758339028638198</v>
      </c>
      <c r="K1078" t="n">
        <v>0.009492739068838201</v>
      </c>
      <c r="L1078" t="b">
        <v>0</v>
      </c>
      <c r="M1078" t="b">
        <v>0</v>
      </c>
      <c r="N1078" t="inlineStr">
        <is>
          <t>alt</t>
        </is>
      </c>
      <c r="O1078" t="n">
        <v>-95</v>
      </c>
      <c r="P1078" t="n">
        <v>0.00869</v>
      </c>
      <c r="Q1078" t="n">
        <v>-100</v>
      </c>
      <c r="R1078" t="n">
        <v>0.2695</v>
      </c>
      <c r="S1078">
        <f>IMAGE("https://mitra.stanford.edu/kundaje/oak/projects/neuro-variants/variant_position/credible/roussos_2024/variant_figures/roussos_2024.infant.GLU/rs9516115_count_position.png",4,220,900)</f>
        <v/>
      </c>
      <c r="T1078">
        <f>IMAGE("https://mitra.stanford.edu/kundaje/oak/projects/neuro-variants/variant_position/credible/roussos_2024/variant_figures/roussos_2024.infant.GLU/rs9516115_profile_position.png",4,220,900)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-0.127530344</v>
      </c>
      <c r="G1079" t="n">
        <v>0.0335218284053846</v>
      </c>
      <c r="H1079" t="n">
        <v>0.0161391952118386</v>
      </c>
      <c r="I1079" t="n">
        <v>0.3063610844521473</v>
      </c>
      <c r="J1079" t="n">
        <v>0.0217024184836525</v>
      </c>
      <c r="K1079" t="n">
        <v>0.5196482043689727</v>
      </c>
      <c r="L1079" t="b">
        <v>0</v>
      </c>
      <c r="M1079" t="b">
        <v>0</v>
      </c>
      <c r="N1079" t="inlineStr">
        <is>
          <t>ref</t>
        </is>
      </c>
      <c r="O1079" t="n">
        <v>-100</v>
      </c>
      <c r="P1079" t="n">
        <v>0.2952</v>
      </c>
      <c r="Q1079" t="n">
        <v>-100</v>
      </c>
      <c r="R1079" t="n">
        <v>0.2827</v>
      </c>
      <c r="S1079">
        <f>IMAGE("https://mitra.stanford.edu/kundaje/oak/projects/neuro-variants/variant_position/credible/roussos_2024/variant_figures/roussos_2024.infant.GLU/rs9523786_count_position.png",4,220,900)</f>
        <v/>
      </c>
      <c r="T1079">
        <f>IMAGE("https://mitra.stanford.edu/kundaje/oak/projects/neuro-variants/variant_position/credible/roussos_2024/variant_figures/roussos_2024.infant.GLU/rs9523786_profile_position.png",4,220,900)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-0.157883924</v>
      </c>
      <c r="G1080" t="n">
        <v>0.0199016891526926</v>
      </c>
      <c r="H1080" t="n">
        <v>0.0165691178283827</v>
      </c>
      <c r="I1080" t="n">
        <v>0.2968434188873773</v>
      </c>
      <c r="J1080" t="n">
        <v>0.0791188077338565</v>
      </c>
      <c r="K1080" t="n">
        <v>0.2511186404984725</v>
      </c>
      <c r="L1080" t="b">
        <v>1</v>
      </c>
      <c r="M1080" t="b">
        <v>0</v>
      </c>
      <c r="N1080" t="inlineStr">
        <is>
          <t>ref</t>
        </is>
      </c>
      <c r="O1080" t="n">
        <v>-80</v>
      </c>
      <c r="P1080" t="n">
        <v>0.00894</v>
      </c>
      <c r="Q1080" t="n">
        <v>-80</v>
      </c>
      <c r="R1080" t="n">
        <v>0.0762</v>
      </c>
      <c r="S1080">
        <f>IMAGE("https://mitra.stanford.edu/kundaje/oak/projects/neuro-variants/variant_position/credible/roussos_2024/variant_figures/roussos_2024.infant.GLU/rs138907830_count_position.png",4,220,900)</f>
        <v/>
      </c>
      <c r="T1080">
        <f>IMAGE("https://mitra.stanford.edu/kundaje/oak/projects/neuro-variants/variant_position/credible/roussos_2024/variant_figures/roussos_2024.infant.GLU/rs138907830_profile_position.png",4,220,900)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-0.0242268492</v>
      </c>
      <c r="G1081" t="n">
        <v>0.3919137287047068</v>
      </c>
      <c r="H1081" t="n">
        <v>0.0407361018291821</v>
      </c>
      <c r="I1081" t="n">
        <v>0.01879067957071</v>
      </c>
      <c r="J1081" t="n">
        <v>0.08286558345642531</v>
      </c>
      <c r="K1081" t="n">
        <v>0.2399596602323026</v>
      </c>
      <c r="L1081" t="b">
        <v>1</v>
      </c>
      <c r="M1081" t="b">
        <v>0</v>
      </c>
      <c r="N1081" t="inlineStr">
        <is>
          <t>ref</t>
        </is>
      </c>
      <c r="O1081" t="n">
        <v>-100</v>
      </c>
      <c r="P1081" t="n">
        <v>0.08416999999999999</v>
      </c>
      <c r="Q1081" t="n">
        <v>-100</v>
      </c>
      <c r="R1081" t="n">
        <v>0.1792</v>
      </c>
      <c r="S1081">
        <f>IMAGE("https://mitra.stanford.edu/kundaje/oak/projects/neuro-variants/variant_position/credible/roussos_2024/variant_figures/roussos_2024.infant.GLU/rs11839843_count_position.png",4,220,900)</f>
        <v/>
      </c>
      <c r="T1081">
        <f>IMAGE("https://mitra.stanford.edu/kundaje/oak/projects/neuro-variants/variant_position/credible/roussos_2024/variant_figures/roussos_2024.infant.GLU/rs11839843_profile_position.png",4,220,900)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-0.0244306062</v>
      </c>
      <c r="G1082" t="n">
        <v>0.3891764431242228</v>
      </c>
      <c r="H1082" t="n">
        <v>0.0536301085126299</v>
      </c>
      <c r="I1082" t="n">
        <v>0.0055123792061718</v>
      </c>
      <c r="J1082" t="n">
        <v>0.013767940210322</v>
      </c>
      <c r="K1082" t="n">
        <v>0.6023534383621206</v>
      </c>
      <c r="L1082" t="b">
        <v>1</v>
      </c>
      <c r="M1082" t="b">
        <v>0</v>
      </c>
      <c r="N1082" t="inlineStr">
        <is>
          <t>ref</t>
        </is>
      </c>
      <c r="O1082" t="n">
        <v>-100</v>
      </c>
      <c r="P1082" t="n">
        <v>0.02095</v>
      </c>
      <c r="Q1082" t="n">
        <v>35</v>
      </c>
      <c r="R1082" t="n">
        <v>0.04297</v>
      </c>
      <c r="S1082">
        <f>IMAGE("https://mitra.stanford.edu/kundaje/oak/projects/neuro-variants/variant_position/credible/roussos_2024/variant_figures/roussos_2024.infant.GLU/rs8000849_count_position.png",4,220,900)</f>
        <v/>
      </c>
      <c r="T1082">
        <f>IMAGE("https://mitra.stanford.edu/kundaje/oak/projects/neuro-variants/variant_position/credible/roussos_2024/variant_figures/roussos_2024.infant.GLU/rs8000849_profile_position.png",4,220,900)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-0.0218649418999999</v>
      </c>
      <c r="G1083" t="n">
        <v>0.2296455067037333</v>
      </c>
      <c r="H1083" t="n">
        <v>0.0121652857533717</v>
      </c>
      <c r="I1083" t="n">
        <v>0.54197168646855</v>
      </c>
      <c r="J1083" t="n">
        <v>0.013582750942481</v>
      </c>
      <c r="K1083" t="n">
        <v>0.661653125239935</v>
      </c>
      <c r="L1083" t="b">
        <v>0</v>
      </c>
      <c r="M1083" t="b">
        <v>0</v>
      </c>
      <c r="N1083" t="inlineStr">
        <is>
          <t>ref</t>
        </is>
      </c>
      <c r="O1083" t="n">
        <v>75</v>
      </c>
      <c r="P1083" t="n">
        <v>0.01152</v>
      </c>
      <c r="Q1083" t="n">
        <v>-60</v>
      </c>
      <c r="R1083" t="n">
        <v>0.08550000000000001</v>
      </c>
      <c r="S1083">
        <f>IMAGE("https://mitra.stanford.edu/kundaje/oak/projects/neuro-variants/variant_position/credible/roussos_2024/variant_figures/roussos_2024.infant.GLU/rs4773928_count_position.png",4,220,900)</f>
        <v/>
      </c>
      <c r="T1083">
        <f>IMAGE("https://mitra.stanford.edu/kundaje/oak/projects/neuro-variants/variant_position/credible/roussos_2024/variant_figures/roussos_2024.infant.GLU/rs4773928_profile_position.png",4,220,900)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0.07907645719999989</v>
      </c>
      <c r="G1084" t="n">
        <v>0.0813389095541751</v>
      </c>
      <c r="H1084" t="n">
        <v>0.0125038191501495</v>
      </c>
      <c r="I1084" t="n">
        <v>0.5184470254650052</v>
      </c>
      <c r="J1084" t="n">
        <v>0.0807281906567604</v>
      </c>
      <c r="K1084" t="n">
        <v>0.2522946544834298</v>
      </c>
      <c r="L1084" t="b">
        <v>0</v>
      </c>
      <c r="M1084" t="b">
        <v>0</v>
      </c>
      <c r="N1084" t="inlineStr">
        <is>
          <t>alt</t>
        </is>
      </c>
      <c r="O1084" t="n">
        <v>-100</v>
      </c>
      <c r="P1084" t="n">
        <v>0.00557</v>
      </c>
      <c r="Q1084" t="n">
        <v>90</v>
      </c>
      <c r="R1084" t="n">
        <v>0.3726</v>
      </c>
      <c r="S1084">
        <f>IMAGE("https://mitra.stanford.edu/kundaje/oak/projects/neuro-variants/variant_position/credible/roussos_2024/variant_figures/roussos_2024.infant.GLU/rs6492824_count_position.png",4,220,900)</f>
        <v/>
      </c>
      <c r="T1084">
        <f>IMAGE("https://mitra.stanford.edu/kundaje/oak/projects/neuro-variants/variant_position/credible/roussos_2024/variant_figures/roussos_2024.infant.GLU/rs6492824_profile_position.png",4,220,900)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0.0409850549599999</v>
      </c>
      <c r="G1085" t="n">
        <v>0.2443122142132017</v>
      </c>
      <c r="H1085" t="n">
        <v>0.0133072022663894</v>
      </c>
      <c r="I1085" t="n">
        <v>0.4665886808396896</v>
      </c>
      <c r="J1085" t="n">
        <v>0.1347483410128088</v>
      </c>
      <c r="K1085" t="n">
        <v>0.1590415745664733</v>
      </c>
      <c r="L1085" t="b">
        <v>0</v>
      </c>
      <c r="M1085" t="b">
        <v>0</v>
      </c>
      <c r="N1085" t="inlineStr">
        <is>
          <t>alt</t>
        </is>
      </c>
      <c r="O1085" t="n">
        <v>20</v>
      </c>
      <c r="P1085" t="n">
        <v>0.01712</v>
      </c>
      <c r="Q1085" t="n">
        <v>15</v>
      </c>
      <c r="R1085" t="n">
        <v>0.05518</v>
      </c>
      <c r="S1085">
        <f>IMAGE("https://mitra.stanford.edu/kundaje/oak/projects/neuro-variants/variant_position/credible/roussos_2024/variant_figures/roussos_2024.infant.GLU/rs9561967_count_position.png",4,220,900)</f>
        <v/>
      </c>
      <c r="T1085">
        <f>IMAGE("https://mitra.stanford.edu/kundaje/oak/projects/neuro-variants/variant_position/credible/roussos_2024/variant_figures/roussos_2024.infant.GLU/rs9561967_profile_position.png",4,220,900)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0.00839695186</v>
      </c>
      <c r="G1086" t="n">
        <v>0.6691824071268683</v>
      </c>
      <c r="H1086" t="n">
        <v>0.0168809801113613</v>
      </c>
      <c r="I1086" t="n">
        <v>0.2765601837521358</v>
      </c>
      <c r="J1086" t="n">
        <v>0.0057022862056041</v>
      </c>
      <c r="K1086" t="n">
        <v>0.7404209363338734</v>
      </c>
      <c r="L1086" t="b">
        <v>0</v>
      </c>
      <c r="M1086" t="b">
        <v>0</v>
      </c>
      <c r="N1086" t="inlineStr">
        <is>
          <t>alt</t>
        </is>
      </c>
      <c r="O1086" t="n">
        <v>-85</v>
      </c>
      <c r="P1086" t="n">
        <v>0.01421</v>
      </c>
      <c r="Q1086" t="n">
        <v>-60</v>
      </c>
      <c r="R1086" t="n">
        <v>0.05267</v>
      </c>
      <c r="S1086">
        <f>IMAGE("https://mitra.stanford.edu/kundaje/oak/projects/neuro-variants/variant_position/credible/roussos_2024/variant_figures/roussos_2024.infant.GLU/rs11616658_count_position.png",4,220,900)</f>
        <v/>
      </c>
      <c r="T1086">
        <f>IMAGE("https://mitra.stanford.edu/kundaje/oak/projects/neuro-variants/variant_position/credible/roussos_2024/variant_figures/roussos_2024.infant.GLU/rs11616658_profile_position.png",4,220,900)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0.0089521793</v>
      </c>
      <c r="G1087" t="n">
        <v>0.6529126503405053</v>
      </c>
      <c r="H1087" t="n">
        <v>0.007964607589909</v>
      </c>
      <c r="I1087" t="n">
        <v>0.912280727896243</v>
      </c>
      <c r="J1087" t="n">
        <v>0.0354692563769042</v>
      </c>
      <c r="K1087" t="n">
        <v>0.4135678100493716</v>
      </c>
      <c r="L1087" t="b">
        <v>0</v>
      </c>
      <c r="M1087" t="b">
        <v>0</v>
      </c>
      <c r="N1087" t="inlineStr">
        <is>
          <t>alt</t>
        </is>
      </c>
      <c r="O1087" t="n">
        <v>-90</v>
      </c>
      <c r="P1087" t="n">
        <v>0.01497</v>
      </c>
      <c r="Q1087" t="n">
        <v>10</v>
      </c>
      <c r="R1087" t="n">
        <v>0.001053</v>
      </c>
      <c r="S1087">
        <f>IMAGE("https://mitra.stanford.edu/kundaje/oak/projects/neuro-variants/variant_position/credible/roussos_2024/variant_figures/roussos_2024.infant.GLU/rs9556505_count_position.png",4,220,900)</f>
        <v/>
      </c>
      <c r="T1087">
        <f>IMAGE("https://mitra.stanford.edu/kundaje/oak/projects/neuro-variants/variant_position/credible/roussos_2024/variant_figures/roussos_2024.infant.GLU/rs9556505_profile_position.png",4,220,900)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0.102923765</v>
      </c>
      <c r="G1088" t="n">
        <v>0.0470368953566886</v>
      </c>
      <c r="H1088" t="n">
        <v>0.0137292008709585</v>
      </c>
      <c r="I1088" t="n">
        <v>0.4343446087406041</v>
      </c>
      <c r="J1088" t="n">
        <v>0.3305628430961881</v>
      </c>
      <c r="K1088" t="n">
        <v>0.0591696744564308</v>
      </c>
      <c r="L1088" t="b">
        <v>0</v>
      </c>
      <c r="M1088" t="b">
        <v>0</v>
      </c>
      <c r="N1088" t="inlineStr">
        <is>
          <t>alt</t>
        </is>
      </c>
      <c r="O1088" t="n">
        <v>85</v>
      </c>
      <c r="P1088" t="n">
        <v>0.2083</v>
      </c>
      <c r="Q1088" t="n">
        <v>40</v>
      </c>
      <c r="R1088" t="n">
        <v>0.1089</v>
      </c>
      <c r="S1088">
        <f>IMAGE("https://mitra.stanford.edu/kundaje/oak/projects/neuro-variants/variant_position/credible/roussos_2024/variant_figures/roussos_2024.infant.GLU/rs1537030_count_position.png",4,220,900)</f>
        <v/>
      </c>
      <c r="T1088">
        <f>IMAGE("https://mitra.stanford.edu/kundaje/oak/projects/neuro-variants/variant_position/credible/roussos_2024/variant_figures/roussos_2024.infant.GLU/rs1537030_profile_position.png",4,220,900)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0.0025542813</v>
      </c>
      <c r="G1089" t="n">
        <v>0.8059736588496963</v>
      </c>
      <c r="H1089" t="n">
        <v>0.0355589392707764</v>
      </c>
      <c r="I1089" t="n">
        <v>0.0318130132819747</v>
      </c>
      <c r="J1089" t="n">
        <v>0.2981293679313917</v>
      </c>
      <c r="K1089" t="n">
        <v>0.069734670932852</v>
      </c>
      <c r="L1089" t="b">
        <v>0</v>
      </c>
      <c r="M1089" t="b">
        <v>0</v>
      </c>
      <c r="N1089" t="inlineStr">
        <is>
          <t>alt</t>
        </is>
      </c>
      <c r="O1089" t="n">
        <v>-50</v>
      </c>
      <c r="P1089" t="n">
        <v>0.008330000000000001</v>
      </c>
      <c r="Q1089" t="n">
        <v>-50</v>
      </c>
      <c r="R1089" t="n">
        <v>0.1698</v>
      </c>
      <c r="S1089">
        <f>IMAGE("https://mitra.stanford.edu/kundaje/oak/projects/neuro-variants/variant_position/credible/roussos_2024/variant_figures/roussos_2024.infant.GLU/rs35836619_count_position.png",4,220,900)</f>
        <v/>
      </c>
      <c r="T1089">
        <f>IMAGE("https://mitra.stanford.edu/kundaje/oak/projects/neuro-variants/variant_position/credible/roussos_2024/variant_figures/roussos_2024.infant.GLU/rs35836619_profile_position.png",4,220,900)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-0.0367866414</v>
      </c>
      <c r="G1090" t="n">
        <v>0.256449548415837</v>
      </c>
      <c r="H1090" t="n">
        <v>0.0149039460293019</v>
      </c>
      <c r="I1090" t="n">
        <v>0.3671308171892214</v>
      </c>
      <c r="J1090" t="n">
        <v>0.2805264666328622</v>
      </c>
      <c r="K1090" t="n">
        <v>0.0753063496931009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0.0165</v>
      </c>
      <c r="Q1090" t="n">
        <v>-100</v>
      </c>
      <c r="R1090" t="n">
        <v>0.07779999999999999</v>
      </c>
      <c r="S1090">
        <f>IMAGE("https://mitra.stanford.edu/kundaje/oak/projects/neuro-variants/variant_position/credible/roussos_2024/variant_figures/roussos_2024.infant.GLU/rs9556506_count_position.png",4,220,900)</f>
        <v/>
      </c>
      <c r="T1090">
        <f>IMAGE("https://mitra.stanford.edu/kundaje/oak/projects/neuro-variants/variant_position/credible/roussos_2024/variant_figures/roussos_2024.infant.GLU/rs9556506_profile_position.png",4,220,900)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-0.0375599608</v>
      </c>
      <c r="G1091" t="n">
        <v>0.2509082159895217</v>
      </c>
      <c r="H1091" t="n">
        <v>0.0146565643692567</v>
      </c>
      <c r="I1091" t="n">
        <v>0.3782967137158715</v>
      </c>
      <c r="J1091" t="n">
        <v>0.3160872153266165</v>
      </c>
      <c r="K1091" t="n">
        <v>0.0647302113035612</v>
      </c>
      <c r="L1091" t="b">
        <v>0</v>
      </c>
      <c r="M1091" t="b">
        <v>0</v>
      </c>
      <c r="N1091" t="inlineStr">
        <is>
          <t>ref</t>
        </is>
      </c>
      <c r="O1091" t="n">
        <v>100</v>
      </c>
      <c r="P1091" t="n">
        <v>0.0269</v>
      </c>
      <c r="Q1091" t="n">
        <v>-45</v>
      </c>
      <c r="R1091" t="n">
        <v>0.05078</v>
      </c>
      <c r="S1091">
        <f>IMAGE("https://mitra.stanford.edu/kundaje/oak/projects/neuro-variants/variant_position/credible/roussos_2024/variant_figures/roussos_2024.infant.GLU/rs9556508_count_position.png",4,220,900)</f>
        <v/>
      </c>
      <c r="T1091">
        <f>IMAGE("https://mitra.stanford.edu/kundaje/oak/projects/neuro-variants/variant_position/credible/roussos_2024/variant_figures/roussos_2024.infant.GLU/rs9556508_profile_position.png",4,220,900)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0.0561635162</v>
      </c>
      <c r="G1092" t="n">
        <v>0.1361907950528191</v>
      </c>
      <c r="H1092" t="n">
        <v>0.0515903737044406</v>
      </c>
      <c r="I1092" t="n">
        <v>0.0065319714105277</v>
      </c>
      <c r="J1092" t="n">
        <v>0.0631936330166008</v>
      </c>
      <c r="K1092" t="n">
        <v>0.298281162000269</v>
      </c>
      <c r="L1092" t="b">
        <v>1</v>
      </c>
      <c r="M1092" t="b">
        <v>1</v>
      </c>
      <c r="N1092" t="inlineStr">
        <is>
          <t>alt</t>
        </is>
      </c>
      <c r="O1092" t="n">
        <v>100</v>
      </c>
      <c r="P1092" t="n">
        <v>0.013016</v>
      </c>
      <c r="Q1092" t="n">
        <v>-85</v>
      </c>
      <c r="R1092" t="n">
        <v>0.05884</v>
      </c>
      <c r="S1092">
        <f>IMAGE("https://mitra.stanford.edu/kundaje/oak/projects/neuro-variants/variant_position/credible/roussos_2024/variant_figures/roussos_2024.infant.GLU/rs1411557_count_position.png",4,220,900)</f>
        <v/>
      </c>
      <c r="T1092">
        <f>IMAGE("https://mitra.stanford.edu/kundaje/oak/projects/neuro-variants/variant_position/credible/roussos_2024/variant_figures/roussos_2024.infant.GLU/rs1411557_profile_position.png",4,220,900)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0.024495336</v>
      </c>
      <c r="G1093" t="n">
        <v>0.3746171983821557</v>
      </c>
      <c r="H1093" t="n">
        <v>0.0433468305716778</v>
      </c>
      <c r="I1093" t="n">
        <v>0.0144641621184093</v>
      </c>
      <c r="J1093" t="n">
        <v>0.0007506779249983</v>
      </c>
      <c r="K1093" t="n">
        <v>0.9234165383662762</v>
      </c>
      <c r="L1093" t="b">
        <v>0</v>
      </c>
      <c r="M1093" t="b">
        <v>0</v>
      </c>
      <c r="N1093" t="inlineStr">
        <is>
          <t>alt</t>
        </is>
      </c>
      <c r="O1093" t="n">
        <v>40</v>
      </c>
      <c r="P1093" t="n">
        <v>0.002808</v>
      </c>
      <c r="Q1093" t="n">
        <v>50</v>
      </c>
      <c r="R1093" t="n">
        <v>0.04517</v>
      </c>
      <c r="S1093">
        <f>IMAGE("https://mitra.stanford.edu/kundaje/oak/projects/neuro-variants/variant_position/credible/roussos_2024/variant_figures/roussos_2024.infant.GLU/rs11619333_count_position.png",4,220,900)</f>
        <v/>
      </c>
      <c r="T1093">
        <f>IMAGE("https://mitra.stanford.edu/kundaje/oak/projects/neuro-variants/variant_position/credible/roussos_2024/variant_figures/roussos_2024.infant.GLU/rs11619333_profile_position.png",4,220,900)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0.0313896802</v>
      </c>
      <c r="G1094" t="n">
        <v>0.3022948626410477</v>
      </c>
      <c r="H1094" t="n">
        <v>0.014875401389982</v>
      </c>
      <c r="I1094" t="n">
        <v>0.3696273255971257</v>
      </c>
      <c r="J1094" t="n">
        <v>0.0500914923168499</v>
      </c>
      <c r="K1094" t="n">
        <v>0.3396453297441785</v>
      </c>
      <c r="L1094" t="b">
        <v>0</v>
      </c>
      <c r="M1094" t="b">
        <v>0</v>
      </c>
      <c r="N1094" t="inlineStr">
        <is>
          <t>alt</t>
        </is>
      </c>
      <c r="O1094" t="n">
        <v>100</v>
      </c>
      <c r="P1094" t="n">
        <v>0.01872</v>
      </c>
      <c r="Q1094" t="n">
        <v>-30</v>
      </c>
      <c r="R1094" t="n">
        <v>0.0321</v>
      </c>
      <c r="S1094">
        <f>IMAGE("https://mitra.stanford.edu/kundaje/oak/projects/neuro-variants/variant_position/credible/roussos_2024/variant_figures/roussos_2024.infant.GLU/rs7324957_count_position.png",4,220,900)</f>
        <v/>
      </c>
      <c r="T1094">
        <f>IMAGE("https://mitra.stanford.edu/kundaje/oak/projects/neuro-variants/variant_position/credible/roussos_2024/variant_figures/roussos_2024.infant.GLU/rs7324957_profile_position.png",4,220,900)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0.0282608315999999</v>
      </c>
      <c r="G1095" t="n">
        <v>0.3546897570480256</v>
      </c>
      <c r="H1095" t="n">
        <v>0.0191549434867049</v>
      </c>
      <c r="I1095" t="n">
        <v>0.2036341630644659</v>
      </c>
      <c r="J1095" t="n">
        <v>0.5080700632729999</v>
      </c>
      <c r="K1095" t="n">
        <v>0.0299848428204435</v>
      </c>
      <c r="L1095" t="b">
        <v>0</v>
      </c>
      <c r="M1095" t="b">
        <v>0</v>
      </c>
      <c r="N1095" t="inlineStr">
        <is>
          <t>alt</t>
        </is>
      </c>
      <c r="O1095" t="n">
        <v>15</v>
      </c>
      <c r="P1095" t="n">
        <v>0.02002</v>
      </c>
      <c r="Q1095" t="n">
        <v>5</v>
      </c>
      <c r="R1095" t="n">
        <v>0.0227</v>
      </c>
      <c r="S1095">
        <f>IMAGE("https://mitra.stanford.edu/kundaje/oak/projects/neuro-variants/variant_position/credible/roussos_2024/variant_figures/roussos_2024.infant.GLU/rs9562005_count_position.png",4,220,900)</f>
        <v/>
      </c>
      <c r="T1095">
        <f>IMAGE("https://mitra.stanford.edu/kundaje/oak/projects/neuro-variants/variant_position/credible/roussos_2024/variant_figures/roussos_2024.infant.GLU/rs9562005_profile_position.png",4,220,900)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0.06395397259999989</v>
      </c>
      <c r="G1096" t="n">
        <v>0.1177845853851738</v>
      </c>
      <c r="H1096" t="n">
        <v>0.021408105021486</v>
      </c>
      <c r="I1096" t="n">
        <v>0.1602000441284562</v>
      </c>
      <c r="J1096" t="n">
        <v>0.0334784717476134</v>
      </c>
      <c r="K1096" t="n">
        <v>0.4261848927611567</v>
      </c>
      <c r="L1096" t="b">
        <v>0</v>
      </c>
      <c r="M1096" t="b">
        <v>0</v>
      </c>
      <c r="N1096" t="inlineStr">
        <is>
          <t>alt</t>
        </is>
      </c>
      <c r="O1096" t="n">
        <v>-65</v>
      </c>
      <c r="P1096" t="n">
        <v>0.0067</v>
      </c>
      <c r="Q1096" t="n">
        <v>100</v>
      </c>
      <c r="R1096" t="n">
        <v>0.1282</v>
      </c>
      <c r="S1096">
        <f>IMAGE("https://mitra.stanford.edu/kundaje/oak/projects/neuro-variants/variant_position/credible/roussos_2024/variant_figures/roussos_2024.infant.GLU/rs117227967_count_position.png",4,220,900)</f>
        <v/>
      </c>
      <c r="T1096">
        <f>IMAGE("https://mitra.stanford.edu/kundaje/oak/projects/neuro-variants/variant_position/credible/roussos_2024/variant_figures/roussos_2024.infant.GLU/rs117227967_profile_position.png",4,220,900)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0.01926753206</v>
      </c>
      <c r="G1097" t="n">
        <v>0.4685573615126777</v>
      </c>
      <c r="H1097" t="n">
        <v>0.0089487079731749</v>
      </c>
      <c r="I1097" t="n">
        <v>0.8351721049340254</v>
      </c>
      <c r="J1097" t="n">
        <v>0.0923587380674176</v>
      </c>
      <c r="K1097" t="n">
        <v>0.2283648853593522</v>
      </c>
      <c r="L1097" t="b">
        <v>0</v>
      </c>
      <c r="M1097" t="b">
        <v>0</v>
      </c>
      <c r="N1097" t="inlineStr">
        <is>
          <t>alt</t>
        </is>
      </c>
      <c r="O1097" t="n">
        <v>-95</v>
      </c>
      <c r="P1097" t="n">
        <v>0.006565</v>
      </c>
      <c r="Q1097" t="n">
        <v>-100</v>
      </c>
      <c r="R1097" t="n">
        <v>0.1842</v>
      </c>
      <c r="S1097">
        <f>IMAGE("https://mitra.stanford.edu/kundaje/oak/projects/neuro-variants/variant_position/credible/roussos_2024/variant_figures/roussos_2024.infant.GLU/rs2026819_count_position.png",4,220,900)</f>
        <v/>
      </c>
      <c r="T1097">
        <f>IMAGE("https://mitra.stanford.edu/kundaje/oak/projects/neuro-variants/variant_position/credible/roussos_2024/variant_figures/roussos_2024.infant.GLU/rs2026819_profile_position.png",4,220,900)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0.0343869844</v>
      </c>
      <c r="G1098" t="n">
        <v>0.2736335033146078</v>
      </c>
      <c r="H1098" t="n">
        <v>0.0508982456875451</v>
      </c>
      <c r="I1098" t="n">
        <v>0.0071111216354915</v>
      </c>
      <c r="J1098" t="n">
        <v>0.0052668709627636</v>
      </c>
      <c r="K1098" t="n">
        <v>0.7472903800357374</v>
      </c>
      <c r="L1098" t="b">
        <v>0</v>
      </c>
      <c r="M1098" t="b">
        <v>0</v>
      </c>
      <c r="N1098" t="inlineStr">
        <is>
          <t>alt</t>
        </is>
      </c>
      <c r="O1098" t="n">
        <v>-15</v>
      </c>
      <c r="P1098" t="n">
        <v>0.004715</v>
      </c>
      <c r="Q1098" t="n">
        <v>75</v>
      </c>
      <c r="R1098" t="n">
        <v>0.077</v>
      </c>
      <c r="S1098">
        <f>IMAGE("https://mitra.stanford.edu/kundaje/oak/projects/neuro-variants/variant_position/credible/roussos_2024/variant_figures/roussos_2024.infant.GLU/rs3782990_count_position.png",4,220,900)</f>
        <v/>
      </c>
      <c r="T1098">
        <f>IMAGE("https://mitra.stanford.edu/kundaje/oak/projects/neuro-variants/variant_position/credible/roussos_2024/variant_figures/roussos_2024.infant.GLU/rs3782990_profile_position.png",4,220,900)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-0.00757266604</v>
      </c>
      <c r="G1099" t="n">
        <v>0.4517298008729083</v>
      </c>
      <c r="H1099" t="n">
        <v>0.0359951404113253</v>
      </c>
      <c r="I1099" t="n">
        <v>0.0310278056983486</v>
      </c>
      <c r="J1099" t="n">
        <v>0.9258294935955378</v>
      </c>
      <c r="K1099" t="n">
        <v>0.0021315883664837</v>
      </c>
      <c r="L1099" t="b">
        <v>0</v>
      </c>
      <c r="M1099" t="b">
        <v>0</v>
      </c>
      <c r="N1099" t="inlineStr">
        <is>
          <t>ref</t>
        </is>
      </c>
      <c r="O1099" t="n">
        <v>-45</v>
      </c>
      <c r="P1099" t="n">
        <v>0.006958</v>
      </c>
      <c r="Q1099" t="n">
        <v>-45</v>
      </c>
      <c r="R1099" t="n">
        <v>0.04102</v>
      </c>
      <c r="S1099">
        <f>IMAGE("https://mitra.stanford.edu/kundaje/oak/projects/neuro-variants/variant_position/credible/roussos_2024/variant_figures/roussos_2024.infant.GLU/rs2277419_count_position.png",4,220,900)</f>
        <v/>
      </c>
      <c r="T1099">
        <f>IMAGE("https://mitra.stanford.edu/kundaje/oak/projects/neuro-variants/variant_position/credible/roussos_2024/variant_figures/roussos_2024.infant.GLU/rs2277419_profile_position.png",4,220,900)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-0.047933393</v>
      </c>
      <c r="G1100" t="n">
        <v>0.192725391450657</v>
      </c>
      <c r="H1100" t="n">
        <v>0.0130868815057813</v>
      </c>
      <c r="I1100" t="n">
        <v>0.4766256608782402</v>
      </c>
      <c r="J1100" t="n">
        <v>0.0236998170153662</v>
      </c>
      <c r="K1100" t="n">
        <v>0.5402389931491434</v>
      </c>
      <c r="L1100" t="b">
        <v>0</v>
      </c>
      <c r="M1100" t="b">
        <v>0</v>
      </c>
      <c r="N1100" t="inlineStr">
        <is>
          <t>ref</t>
        </is>
      </c>
      <c r="O1100" t="n">
        <v>15</v>
      </c>
      <c r="P1100" t="n">
        <v>0.001724</v>
      </c>
      <c r="Q1100" t="n">
        <v>100</v>
      </c>
      <c r="R1100" t="n">
        <v>0.151</v>
      </c>
      <c r="S1100">
        <f>IMAGE("https://mitra.stanford.edu/kundaje/oak/projects/neuro-variants/variant_position/credible/roussos_2024/variant_figures/roussos_2024.infant.GLU/rs1854173_count_position.png",4,220,900)</f>
        <v/>
      </c>
      <c r="T1100">
        <f>IMAGE("https://mitra.stanford.edu/kundaje/oak/projects/neuro-variants/variant_position/credible/roussos_2024/variant_figures/roussos_2024.infant.GLU/rs1854173_profile_position.png",4,220,900)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0.0130241419165999</v>
      </c>
      <c r="G1101" t="n">
        <v>0.5837551864257472</v>
      </c>
      <c r="H1101" t="n">
        <v>0.0118948581821876</v>
      </c>
      <c r="I1101" t="n">
        <v>0.5689407526632099</v>
      </c>
      <c r="J1101" t="n">
        <v>0.5600850988778412</v>
      </c>
      <c r="K1101" t="n">
        <v>0.0246019039857531</v>
      </c>
      <c r="L1101" t="b">
        <v>0</v>
      </c>
      <c r="M1101" t="b">
        <v>0</v>
      </c>
      <c r="N1101" t="inlineStr">
        <is>
          <t>alt</t>
        </is>
      </c>
      <c r="O1101" t="n">
        <v>-20</v>
      </c>
      <c r="P1101" t="n">
        <v>0.00397</v>
      </c>
      <c r="Q1101" t="n">
        <v>100</v>
      </c>
      <c r="R1101" t="n">
        <v>0.1292</v>
      </c>
      <c r="S1101">
        <f>IMAGE("https://mitra.stanford.edu/kundaje/oak/projects/neuro-variants/variant_position/credible/roussos_2024/variant_figures/roussos_2024.infant.GLU/rs11618108_count_position.png",4,220,900)</f>
        <v/>
      </c>
      <c r="T1101">
        <f>IMAGE("https://mitra.stanford.edu/kundaje/oak/projects/neuro-variants/variant_position/credible/roussos_2024/variant_figures/roussos_2024.infant.GLU/rs11618108_profile_position.png",4,220,900)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-0.0236777362</v>
      </c>
      <c r="G1102" t="n">
        <v>0.3999233253880535</v>
      </c>
      <c r="H1102" t="n">
        <v>0.07577331003451759</v>
      </c>
      <c r="I1102" t="n">
        <v>0.0009310422808266</v>
      </c>
      <c r="J1102" t="n">
        <v>0.149963623536674</v>
      </c>
      <c r="K1102" t="n">
        <v>0.1443733355833671</v>
      </c>
      <c r="L1102" t="b">
        <v>1</v>
      </c>
      <c r="M1102" t="b">
        <v>1</v>
      </c>
      <c r="N1102" t="inlineStr">
        <is>
          <t>ref</t>
        </is>
      </c>
      <c r="O1102" t="n">
        <v>40</v>
      </c>
      <c r="P1102" t="n">
        <v>0.010254</v>
      </c>
      <c r="Q1102" t="n">
        <v>-95</v>
      </c>
      <c r="R1102" t="n">
        <v>0.10376</v>
      </c>
      <c r="S1102">
        <f>IMAGE("https://mitra.stanford.edu/kundaje/oak/projects/neuro-variants/variant_position/credible/roussos_2024/variant_figures/roussos_2024.infant.GLU/rs200086486_count_position.png",4,220,900)</f>
        <v/>
      </c>
      <c r="T1102">
        <f>IMAGE("https://mitra.stanford.edu/kundaje/oak/projects/neuro-variants/variant_position/credible/roussos_2024/variant_figures/roussos_2024.infant.GLU/rs200086486_profile_position.png",4,220,900)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0.177711502</v>
      </c>
      <c r="G1103" t="n">
        <v>0.0158150361244639</v>
      </c>
      <c r="H1103" t="n">
        <v>0.0248474771056185</v>
      </c>
      <c r="I1103" t="n">
        <v>0.1025843395379439</v>
      </c>
      <c r="J1103" t="n">
        <v>0.100302034877312</v>
      </c>
      <c r="K1103" t="n">
        <v>0.2073815880590304</v>
      </c>
      <c r="L1103" t="b">
        <v>1</v>
      </c>
      <c r="M1103" t="b">
        <v>0</v>
      </c>
      <c r="N1103" t="inlineStr">
        <is>
          <t>alt</t>
        </is>
      </c>
      <c r="O1103" t="n">
        <v>80</v>
      </c>
      <c r="P1103" t="n">
        <v>0.03363</v>
      </c>
      <c r="Q1103" t="n">
        <v>-30</v>
      </c>
      <c r="R1103" t="n">
        <v>0.04297</v>
      </c>
      <c r="S1103">
        <f>IMAGE("https://mitra.stanford.edu/kundaje/oak/projects/neuro-variants/variant_position/credible/roussos_2024/variant_figures/roussos_2024.infant.GLU/rs493423_count_position.png",4,220,900)</f>
        <v/>
      </c>
      <c r="T1103">
        <f>IMAGE("https://mitra.stanford.edu/kundaje/oak/projects/neuro-variants/variant_position/credible/roussos_2024/variant_figures/roussos_2024.infant.GLU/rs493423_profile_position.png",4,220,900)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0.0544398182</v>
      </c>
      <c r="G1104" t="n">
        <v>0.1381680982063159</v>
      </c>
      <c r="H1104" t="n">
        <v>0.0115661339262721</v>
      </c>
      <c r="I1104" t="n">
        <v>0.5928182501755483</v>
      </c>
      <c r="J1104" t="n">
        <v>0.1540223549901893</v>
      </c>
      <c r="K1104" t="n">
        <v>0.154029577617508</v>
      </c>
      <c r="L1104" t="b">
        <v>0</v>
      </c>
      <c r="M1104" t="b">
        <v>0</v>
      </c>
      <c r="N1104" t="inlineStr">
        <is>
          <t>alt</t>
        </is>
      </c>
      <c r="O1104" t="n">
        <v>0</v>
      </c>
      <c r="P1104" t="n">
        <v>0</v>
      </c>
      <c r="Q1104" t="n">
        <v>100</v>
      </c>
      <c r="R1104" t="n">
        <v>0.0437</v>
      </c>
      <c r="S1104">
        <f>IMAGE("https://mitra.stanford.edu/kundaje/oak/projects/neuro-variants/variant_position/credible/roussos_2024/variant_figures/roussos_2024.infant.GLU/rs504340_count_position.png",4,220,900)</f>
        <v/>
      </c>
      <c r="T1104">
        <f>IMAGE("https://mitra.stanford.edu/kundaje/oak/projects/neuro-variants/variant_position/credible/roussos_2024/variant_figures/roussos_2024.infant.GLU/rs504340_profile_position.png",4,220,900)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-0.007552575232</v>
      </c>
      <c r="G1105" t="n">
        <v>0.7010921124042933</v>
      </c>
      <c r="H1105" t="n">
        <v>0.0306195494725791</v>
      </c>
      <c r="I1105" t="n">
        <v>0.0540365442579193</v>
      </c>
      <c r="J1105" t="n">
        <v>0.0640975330143962</v>
      </c>
      <c r="K1105" t="n">
        <v>0.2964365861225362</v>
      </c>
      <c r="L1105" t="b">
        <v>0</v>
      </c>
      <c r="M1105" t="b">
        <v>0</v>
      </c>
      <c r="N1105" t="inlineStr">
        <is>
          <t>ref</t>
        </is>
      </c>
      <c r="O1105" t="n">
        <v>-40</v>
      </c>
      <c r="P1105" t="n">
        <v>0.00978</v>
      </c>
      <c r="Q1105" t="n">
        <v>100</v>
      </c>
      <c r="R1105" t="n">
        <v>0.04272</v>
      </c>
      <c r="S1105">
        <f>IMAGE("https://mitra.stanford.edu/kundaje/oak/projects/neuro-variants/variant_position/credible/roussos_2024/variant_figures/roussos_2024.infant.GLU/rs1117183_count_position.png",4,220,900)</f>
        <v/>
      </c>
      <c r="T1105">
        <f>IMAGE("https://mitra.stanford.edu/kundaje/oak/projects/neuro-variants/variant_position/credible/roussos_2024/variant_figures/roussos_2024.infant.GLU/rs1117183_profile_position.png",4,220,900)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-0.0144646529199999</v>
      </c>
      <c r="G1106" t="n">
        <v>0.546546284798845</v>
      </c>
      <c r="H1106" t="n">
        <v>0.04930011463196</v>
      </c>
      <c r="I1106" t="n">
        <v>0.008129466538966</v>
      </c>
      <c r="J1106" t="n">
        <v>0.3737913093322163</v>
      </c>
      <c r="K1106" t="n">
        <v>0.0516898748418739</v>
      </c>
      <c r="L1106" t="b">
        <v>1</v>
      </c>
      <c r="M1106" t="b">
        <v>1</v>
      </c>
      <c r="N1106" t="inlineStr">
        <is>
          <t>ref</t>
        </is>
      </c>
      <c r="O1106" t="n">
        <v>-80</v>
      </c>
      <c r="P1106" t="n">
        <v>0.03296</v>
      </c>
      <c r="Q1106" t="n">
        <v>-100</v>
      </c>
      <c r="R1106" t="n">
        <v>0.2197</v>
      </c>
      <c r="S1106">
        <f>IMAGE("https://mitra.stanford.edu/kundaje/oak/projects/neuro-variants/variant_position/credible/roussos_2024/variant_figures/roussos_2024.infant.GLU/rs640357_count_position.png",4,220,900)</f>
        <v/>
      </c>
      <c r="T1106">
        <f>IMAGE("https://mitra.stanford.edu/kundaje/oak/projects/neuro-variants/variant_position/credible/roussos_2024/variant_figures/roussos_2024.infant.GLU/rs640357_profile_position.png",4,220,900)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0.0458734642</v>
      </c>
      <c r="G1107" t="n">
        <v>0.1948346629095318</v>
      </c>
      <c r="H1107" t="n">
        <v>0.009521549662267301</v>
      </c>
      <c r="I1107" t="n">
        <v>0.7870993350591982</v>
      </c>
      <c r="J1107" t="n">
        <v>0.0393152406358164</v>
      </c>
      <c r="K1107" t="n">
        <v>0.3925656959155152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0.08400000000000001</v>
      </c>
      <c r="Q1107" t="n">
        <v>-90</v>
      </c>
      <c r="R1107" t="n">
        <v>0.0227</v>
      </c>
      <c r="S1107">
        <f>IMAGE("https://mitra.stanford.edu/kundaje/oak/projects/neuro-variants/variant_position/credible/roussos_2024/variant_figures/roussos_2024.infant.GLU/rs16951630_count_position.png",4,220,900)</f>
        <v/>
      </c>
      <c r="T1107">
        <f>IMAGE("https://mitra.stanford.edu/kundaje/oak/projects/neuro-variants/variant_position/credible/roussos_2024/variant_figures/roussos_2024.infant.GLU/rs16951630_profile_position.png",4,220,900)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-0.0792741216</v>
      </c>
      <c r="G1108" t="n">
        <v>0.0784477029039614</v>
      </c>
      <c r="H1108" t="n">
        <v>0.0129996397793419</v>
      </c>
      <c r="I1108" t="n">
        <v>0.4749732610484961</v>
      </c>
      <c r="J1108" t="n">
        <v>0.1272415617628254</v>
      </c>
      <c r="K1108" t="n">
        <v>0.1659527150578294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0.06006</v>
      </c>
      <c r="Q1108" t="n">
        <v>-90</v>
      </c>
      <c r="R1108" t="n">
        <v>0.05762</v>
      </c>
      <c r="S1108">
        <f>IMAGE("https://mitra.stanford.edu/kundaje/oak/projects/neuro-variants/variant_position/credible/roussos_2024/variant_figures/roussos_2024.infant.GLU/rs9590371_count_position.png",4,220,900)</f>
        <v/>
      </c>
      <c r="T1108">
        <f>IMAGE("https://mitra.stanford.edu/kundaje/oak/projects/neuro-variants/variant_position/credible/roussos_2024/variant_figures/roussos_2024.infant.GLU/rs9590371_profile_position.png",4,220,900)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-0.004200097648</v>
      </c>
      <c r="G1109" t="n">
        <v>0.8082659576860173</v>
      </c>
      <c r="H1109" t="n">
        <v>0.0156529616717093</v>
      </c>
      <c r="I1109" t="n">
        <v>0.3289850237192374</v>
      </c>
      <c r="J1109" t="n">
        <v>0.0010560197535218</v>
      </c>
      <c r="K1109" t="n">
        <v>0.8838569523814096</v>
      </c>
      <c r="L1109" t="b">
        <v>0</v>
      </c>
      <c r="M1109" t="b">
        <v>0</v>
      </c>
      <c r="N1109" t="inlineStr">
        <is>
          <t>ref</t>
        </is>
      </c>
      <c r="O1109" t="n">
        <v>-100</v>
      </c>
      <c r="P1109" t="n">
        <v>0.08234</v>
      </c>
      <c r="Q1109" t="n">
        <v>-100</v>
      </c>
      <c r="R1109" t="n">
        <v>0.04984</v>
      </c>
      <c r="S1109">
        <f>IMAGE("https://mitra.stanford.edu/kundaje/oak/projects/neuro-variants/variant_position/credible/roussos_2024/variant_figures/roussos_2024.infant.GLU/rs1927808_count_position.png",4,220,900)</f>
        <v/>
      </c>
      <c r="T1109">
        <f>IMAGE("https://mitra.stanford.edu/kundaje/oak/projects/neuro-variants/variant_position/credible/roussos_2024/variant_figures/roussos_2024.infant.GLU/rs1927808_profile_position.png",4,220,900)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-0.0509239879999999</v>
      </c>
      <c r="G1110" t="n">
        <v>0.1654674722251151</v>
      </c>
      <c r="H1110" t="n">
        <v>0.0102414607702503</v>
      </c>
      <c r="I1110" t="n">
        <v>0.7190540858767065</v>
      </c>
      <c r="J1110" t="n">
        <v>0.0191505544654864</v>
      </c>
      <c r="K1110" t="n">
        <v>0.5648847334964499</v>
      </c>
      <c r="L1110" t="b">
        <v>0</v>
      </c>
      <c r="M1110" t="b">
        <v>0</v>
      </c>
      <c r="N1110" t="inlineStr">
        <is>
          <t>ref</t>
        </is>
      </c>
      <c r="O1110" t="n">
        <v>20</v>
      </c>
      <c r="P1110" t="n">
        <v>0.00521</v>
      </c>
      <c r="Q1110" t="n">
        <v>-5</v>
      </c>
      <c r="R1110" t="n">
        <v>0.00598</v>
      </c>
      <c r="S1110">
        <f>IMAGE("https://mitra.stanford.edu/kundaje/oak/projects/neuro-variants/variant_position/credible/roussos_2024/variant_figures/roussos_2024.infant.GLU/rs9516643_count_position.png",4,220,900)</f>
        <v/>
      </c>
      <c r="T1110">
        <f>IMAGE("https://mitra.stanford.edu/kundaje/oak/projects/neuro-variants/variant_position/credible/roussos_2024/variant_figures/roussos_2024.infant.GLU/rs9516643_profile_position.png",4,220,900)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-0.0253677735999999</v>
      </c>
      <c r="G1111" t="n">
        <v>0.380571605704069</v>
      </c>
      <c r="H1111" t="n">
        <v>0.0090165329613044</v>
      </c>
      <c r="I1111" t="n">
        <v>0.8140479134916869</v>
      </c>
      <c r="J1111" t="n">
        <v>0.0490321656121166</v>
      </c>
      <c r="K1111" t="n">
        <v>0.3615658896928926</v>
      </c>
      <c r="L1111" t="b">
        <v>0</v>
      </c>
      <c r="M1111" t="b">
        <v>0</v>
      </c>
      <c r="N1111" t="inlineStr">
        <is>
          <t>ref</t>
        </is>
      </c>
      <c r="O1111" t="n">
        <v>100</v>
      </c>
      <c r="P1111" t="n">
        <v>0.00731</v>
      </c>
      <c r="Q1111" t="n">
        <v>-70</v>
      </c>
      <c r="R1111" t="n">
        <v>0.09717000000000001</v>
      </c>
      <c r="S1111">
        <f>IMAGE("https://mitra.stanford.edu/kundaje/oak/projects/neuro-variants/variant_position/credible/roussos_2024/variant_figures/roussos_2024.infant.GLU/rs9584347_count_position.png",4,220,900)</f>
        <v/>
      </c>
      <c r="T1111">
        <f>IMAGE("https://mitra.stanford.edu/kundaje/oak/projects/neuro-variants/variant_position/credible/roussos_2024/variant_figures/roussos_2024.infant.GLU/rs9584347_profile_position.png",4,220,900)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-0.005754544916</v>
      </c>
      <c r="G1112" t="n">
        <v>0.7649363335768453</v>
      </c>
      <c r="H1112" t="n">
        <v>0.0237952574885124</v>
      </c>
      <c r="I1112" t="n">
        <v>0.1156658075906899</v>
      </c>
      <c r="J1112" t="n">
        <v>0.0123338257016247</v>
      </c>
      <c r="K1112" t="n">
        <v>0.6307257006862622</v>
      </c>
      <c r="L1112" t="b">
        <v>0</v>
      </c>
      <c r="M1112" t="b">
        <v>0</v>
      </c>
      <c r="N1112" t="inlineStr">
        <is>
          <t>ref</t>
        </is>
      </c>
      <c r="O1112" t="n">
        <v>-100</v>
      </c>
      <c r="P1112" t="n">
        <v>0.00769</v>
      </c>
      <c r="Q1112" t="n">
        <v>-85</v>
      </c>
      <c r="R1112" t="n">
        <v>0.07779999999999999</v>
      </c>
      <c r="S1112">
        <f>IMAGE("https://mitra.stanford.edu/kundaje/oak/projects/neuro-variants/variant_position/credible/roussos_2024/variant_figures/roussos_2024.infant.GLU/rs9525161_count_position.png",4,220,900)</f>
        <v/>
      </c>
      <c r="T1112">
        <f>IMAGE("https://mitra.stanford.edu/kundaje/oak/projects/neuro-variants/variant_position/credible/roussos_2024/variant_figures/roussos_2024.infant.GLU/rs9525161_profile_position.png",4,220,900)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0.00472812124</v>
      </c>
      <c r="G1113" t="n">
        <v>0.6698582732462314</v>
      </c>
      <c r="H1113" t="n">
        <v>0.0295484951779615</v>
      </c>
      <c r="I1113" t="n">
        <v>0.0606492056524381</v>
      </c>
      <c r="J1113" t="n">
        <v>0.0593586719283934</v>
      </c>
      <c r="K1113" t="n">
        <v>0.3146777672331265</v>
      </c>
      <c r="L1113" t="b">
        <v>0</v>
      </c>
      <c r="M1113" t="b">
        <v>0</v>
      </c>
      <c r="N1113" t="inlineStr">
        <is>
          <t>alt</t>
        </is>
      </c>
      <c r="O1113" t="n">
        <v>-100</v>
      </c>
      <c r="P1113" t="n">
        <v>0.01474</v>
      </c>
      <c r="Q1113" t="n">
        <v>-100</v>
      </c>
      <c r="R1113" t="n">
        <v>0.0839</v>
      </c>
      <c r="S1113">
        <f>IMAGE("https://mitra.stanford.edu/kundaje/oak/projects/neuro-variants/variant_position/credible/roussos_2024/variant_figures/roussos_2024.infant.GLU/rs8002865_count_position.png",4,220,900)</f>
        <v/>
      </c>
      <c r="T1113">
        <f>IMAGE("https://mitra.stanford.edu/kundaje/oak/projects/neuro-variants/variant_position/credible/roussos_2024/variant_figures/roussos_2024.infant.GLU/rs8002865_profile_position.png",4,220,900)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-0.0437740196</v>
      </c>
      <c r="G1114" t="n">
        <v>0.2113424105806305</v>
      </c>
      <c r="H1114" t="n">
        <v>0.0270814613106211</v>
      </c>
      <c r="I1114" t="n">
        <v>0.07980211708679789</v>
      </c>
      <c r="J1114" t="n">
        <v>0.1294935955378204</v>
      </c>
      <c r="K1114" t="n">
        <v>0.1686184613389666</v>
      </c>
      <c r="L1114" t="b">
        <v>0</v>
      </c>
      <c r="M1114" t="b">
        <v>0</v>
      </c>
      <c r="N1114" t="inlineStr">
        <is>
          <t>ref</t>
        </is>
      </c>
      <c r="O1114" t="n">
        <v>80</v>
      </c>
      <c r="P1114" t="n">
        <v>0.004883</v>
      </c>
      <c r="Q1114" t="n">
        <v>-45</v>
      </c>
      <c r="R1114" t="n">
        <v>0.03217</v>
      </c>
      <c r="S1114">
        <f>IMAGE("https://mitra.stanford.edu/kundaje/oak/projects/neuro-variants/variant_position/credible/roussos_2024/variant_figures/roussos_2024.infant.GLU/rs1927804_count_position.png",4,220,900)</f>
        <v/>
      </c>
      <c r="T1114">
        <f>IMAGE("https://mitra.stanford.edu/kundaje/oak/projects/neuro-variants/variant_position/credible/roussos_2024/variant_figures/roussos_2024.infant.GLU/rs1927804_profile_position.png",4,220,900)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0.132854459</v>
      </c>
      <c r="G1115" t="n">
        <v>0.032851340740896</v>
      </c>
      <c r="H1115" t="n">
        <v>0.0472881258085598</v>
      </c>
      <c r="I1115" t="n">
        <v>0.0102453200634302</v>
      </c>
      <c r="J1115" t="n">
        <v>0.086870301373487</v>
      </c>
      <c r="K1115" t="n">
        <v>0.2332076245201131</v>
      </c>
      <c r="L1115" t="b">
        <v>1</v>
      </c>
      <c r="M1115" t="b">
        <v>0</v>
      </c>
      <c r="N1115" t="inlineStr">
        <is>
          <t>alt</t>
        </is>
      </c>
      <c r="O1115" t="n">
        <v>-100</v>
      </c>
      <c r="P1115" t="n">
        <v>0.01062</v>
      </c>
      <c r="Q1115" t="n">
        <v>80</v>
      </c>
      <c r="R1115" t="n">
        <v>0.1338</v>
      </c>
      <c r="S1115">
        <f>IMAGE("https://mitra.stanford.edu/kundaje/oak/projects/neuro-variants/variant_position/credible/roussos_2024/variant_figures/roussos_2024.infant.GLU/rs9516649_count_position.png",4,220,900)</f>
        <v/>
      </c>
      <c r="T1115">
        <f>IMAGE("https://mitra.stanford.edu/kundaje/oak/projects/neuro-variants/variant_position/credible/roussos_2024/variant_figures/roussos_2024.infant.GLU/rs9516649_profile_position.png",4,220,900)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-0.01290248394</v>
      </c>
      <c r="G1116" t="n">
        <v>0.6027279003806127</v>
      </c>
      <c r="H1116" t="n">
        <v>0.0408358438315655</v>
      </c>
      <c r="I1116" t="n">
        <v>0.0189218808384736</v>
      </c>
      <c r="J1116" t="n">
        <v>0.0066469719350073</v>
      </c>
      <c r="K1116" t="n">
        <v>0.7295632136739946</v>
      </c>
      <c r="L1116" t="b">
        <v>0</v>
      </c>
      <c r="M1116" t="b">
        <v>0</v>
      </c>
      <c r="N1116" t="inlineStr">
        <is>
          <t>ref</t>
        </is>
      </c>
      <c r="O1116" t="n">
        <v>-60</v>
      </c>
      <c r="P1116" t="n">
        <v>0.10535</v>
      </c>
      <c r="Q1116" t="n">
        <v>-100</v>
      </c>
      <c r="R1116" t="n">
        <v>0.0946</v>
      </c>
      <c r="S1116">
        <f>IMAGE("https://mitra.stanford.edu/kundaje/oak/projects/neuro-variants/variant_position/credible/roussos_2024/variant_figures/roussos_2024.infant.GLU/rs2104657_count_position.png",4,220,900)</f>
        <v/>
      </c>
      <c r="T1116">
        <f>IMAGE("https://mitra.stanford.edu/kundaje/oak/projects/neuro-variants/variant_position/credible/roussos_2024/variant_figures/roussos_2024.infant.GLU/rs2104657_profile_position.png",4,220,900)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-0.0570598671999999</v>
      </c>
      <c r="G1117" t="n">
        <v>0.1366733827781007</v>
      </c>
      <c r="H1117" t="n">
        <v>0.009085714650982299</v>
      </c>
      <c r="I1117" t="n">
        <v>0.822997618631462</v>
      </c>
      <c r="J1117" t="n">
        <v>0.0951553164752308</v>
      </c>
      <c r="K1117" t="n">
        <v>0.2185667610145384</v>
      </c>
      <c r="L1117" t="b">
        <v>0</v>
      </c>
      <c r="M1117" t="b">
        <v>0</v>
      </c>
      <c r="N1117" t="inlineStr">
        <is>
          <t>ref</t>
        </is>
      </c>
      <c r="O1117" t="n">
        <v>25</v>
      </c>
      <c r="P1117" t="n">
        <v>0.005157</v>
      </c>
      <c r="Q1117" t="n">
        <v>75</v>
      </c>
      <c r="R1117" t="n">
        <v>0.06902999999999999</v>
      </c>
      <c r="S1117">
        <f>IMAGE("https://mitra.stanford.edu/kundaje/oak/projects/neuro-variants/variant_position/credible/roussos_2024/variant_figures/roussos_2024.infant.GLU/rs1927784_count_position.png",4,220,900)</f>
        <v/>
      </c>
      <c r="T1117">
        <f>IMAGE("https://mitra.stanford.edu/kundaje/oak/projects/neuro-variants/variant_position/credible/roussos_2024/variant_figures/roussos_2024.infant.GLU/rs1927784_profile_position.png",4,220,900)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0.172060202</v>
      </c>
      <c r="G1118" t="n">
        <v>0.0168422082425469</v>
      </c>
      <c r="H1118" t="n">
        <v>0.03821881488417</v>
      </c>
      <c r="I1118" t="n">
        <v>0.0252423440919392</v>
      </c>
      <c r="J1118" t="n">
        <v>0.1207852906810114</v>
      </c>
      <c r="K1118" t="n">
        <v>0.175612544421495</v>
      </c>
      <c r="L1118" t="b">
        <v>1</v>
      </c>
      <c r="M1118" t="b">
        <v>0</v>
      </c>
      <c r="N1118" t="inlineStr">
        <is>
          <t>alt</t>
        </is>
      </c>
      <c r="O1118" t="n">
        <v>-100</v>
      </c>
      <c r="P1118" t="n">
        <v>0.1604</v>
      </c>
      <c r="Q1118" t="n">
        <v>-100</v>
      </c>
      <c r="R1118" t="n">
        <v>0.1573</v>
      </c>
      <c r="S1118">
        <f>IMAGE("https://mitra.stanford.edu/kundaje/oak/projects/neuro-variants/variant_position/credible/roussos_2024/variant_figures/roussos_2024.infant.GLU/rs61966895_count_position.png",4,220,900)</f>
        <v/>
      </c>
      <c r="T1118">
        <f>IMAGE("https://mitra.stanford.edu/kundaje/oak/projects/neuro-variants/variant_position/credible/roussos_2024/variant_figures/roussos_2024.infant.GLU/rs61966895_profile_position.png",4,220,900)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0.0801241028</v>
      </c>
      <c r="G1119" t="n">
        <v>0.0735212376791444</v>
      </c>
      <c r="H1119" t="n">
        <v>0.01285655801239</v>
      </c>
      <c r="I1119" t="n">
        <v>0.4916021574685906</v>
      </c>
      <c r="J1119" t="n">
        <v>0.0581494301020745</v>
      </c>
      <c r="K1119" t="n">
        <v>0.3115435979788601</v>
      </c>
      <c r="L1119" t="b">
        <v>0</v>
      </c>
      <c r="M1119" t="b">
        <v>0</v>
      </c>
      <c r="N1119" t="inlineStr">
        <is>
          <t>alt</t>
        </is>
      </c>
      <c r="O1119" t="n">
        <v>10</v>
      </c>
      <c r="P1119" t="n">
        <v>0.002747</v>
      </c>
      <c r="Q1119" t="n">
        <v>15</v>
      </c>
      <c r="R1119" t="n">
        <v>0.008789999999999999</v>
      </c>
      <c r="S1119">
        <f>IMAGE("https://mitra.stanford.edu/kundaje/oak/projects/neuro-variants/variant_position/credible/roussos_2024/variant_figures/roussos_2024.infant.GLU/rs11619328_count_position.png",4,220,900)</f>
        <v/>
      </c>
      <c r="T1119">
        <f>IMAGE("https://mitra.stanford.edu/kundaje/oak/projects/neuro-variants/variant_position/credible/roussos_2024/variant_figures/roussos_2024.infant.GLU/rs11619328_profile_position.png",4,220,900)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-0.185476212</v>
      </c>
      <c r="G1120" t="n">
        <v>0.0127252713123788</v>
      </c>
      <c r="H1120" t="n">
        <v>0.0214481045449036</v>
      </c>
      <c r="I1120" t="n">
        <v>0.1569911164945672</v>
      </c>
      <c r="J1120" t="n">
        <v>0.0684108997111928</v>
      </c>
      <c r="K1120" t="n">
        <v>0.2878590166816342</v>
      </c>
      <c r="L1120" t="b">
        <v>1</v>
      </c>
      <c r="M1120" t="b">
        <v>0</v>
      </c>
      <c r="N1120" t="inlineStr">
        <is>
          <t>ref</t>
        </is>
      </c>
      <c r="O1120" t="n">
        <v>-90</v>
      </c>
      <c r="P1120" t="n">
        <v>0.01886</v>
      </c>
      <c r="Q1120" t="n">
        <v>70</v>
      </c>
      <c r="R1120" t="n">
        <v>0.04712</v>
      </c>
      <c r="S1120">
        <f>IMAGE("https://mitra.stanford.edu/kundaje/oak/projects/neuro-variants/variant_position/credible/roussos_2024/variant_figures/roussos_2024.infant.GLU/rs2038823_count_position.png",4,220,900)</f>
        <v/>
      </c>
      <c r="T1120">
        <f>IMAGE("https://mitra.stanford.edu/kundaje/oak/projects/neuro-variants/variant_position/credible/roussos_2024/variant_figures/roussos_2024.infant.GLU/rs2038823_profile_position.png",4,220,900)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-0.0360113326</v>
      </c>
      <c r="G1121" t="n">
        <v>0.2507800678689865</v>
      </c>
      <c r="H1121" t="n">
        <v>0.0139203114726713</v>
      </c>
      <c r="I1121" t="n">
        <v>0.4239027173739887</v>
      </c>
      <c r="J1121" t="n">
        <v>0.005338521572345</v>
      </c>
      <c r="K1121" t="n">
        <v>0.7481221526138848</v>
      </c>
      <c r="L1121" t="b">
        <v>0</v>
      </c>
      <c r="M1121" t="b">
        <v>0</v>
      </c>
      <c r="N1121" t="inlineStr">
        <is>
          <t>ref</t>
        </is>
      </c>
      <c r="O1121" t="n">
        <v>100</v>
      </c>
      <c r="P1121" t="n">
        <v>0.02972</v>
      </c>
      <c r="Q1121" t="n">
        <v>-65</v>
      </c>
      <c r="R1121" t="n">
        <v>0.1403</v>
      </c>
      <c r="S1121">
        <f>IMAGE("https://mitra.stanford.edu/kundaje/oak/projects/neuro-variants/variant_position/credible/roussos_2024/variant_figures/roussos_2024.infant.GLU/rs11618312_count_position.png",4,220,900)</f>
        <v/>
      </c>
      <c r="T1121">
        <f>IMAGE("https://mitra.stanford.edu/kundaje/oak/projects/neuro-variants/variant_position/credible/roussos_2024/variant_figures/roussos_2024.infant.GLU/rs11618312_profile_position.png",4,220,900)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-0.0795648264</v>
      </c>
      <c r="G1122" t="n">
        <v>0.0885855398496443</v>
      </c>
      <c r="H1122" t="n">
        <v>0.014139672872521</v>
      </c>
      <c r="I1122" t="n">
        <v>0.4102669443605861</v>
      </c>
      <c r="J1122" t="n">
        <v>0.3179622566635067</v>
      </c>
      <c r="K1122" t="n">
        <v>0.0631426553016783</v>
      </c>
      <c r="L1122" t="b">
        <v>0</v>
      </c>
      <c r="M1122" t="b">
        <v>0</v>
      </c>
      <c r="N1122" t="inlineStr">
        <is>
          <t>ref</t>
        </is>
      </c>
      <c r="O1122" t="n">
        <v>85</v>
      </c>
      <c r="P1122" t="n">
        <v>0.013535</v>
      </c>
      <c r="Q1122" t="n">
        <v>-50</v>
      </c>
      <c r="R1122" t="n">
        <v>0.1313</v>
      </c>
      <c r="S1122">
        <f>IMAGE("https://mitra.stanford.edu/kundaje/oak/projects/neuro-variants/variant_position/credible/roussos_2024/variant_figures/roussos_2024.infant.GLU/rs117420459_count_position.png",4,220,900)</f>
        <v/>
      </c>
      <c r="T1122">
        <f>IMAGE("https://mitra.stanford.edu/kundaje/oak/projects/neuro-variants/variant_position/credible/roussos_2024/variant_figures/roussos_2024.infant.GLU/rs117420459_profile_position.png",4,220,900)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0.0277012244</v>
      </c>
      <c r="G1123" t="n">
        <v>0.3356952252418745</v>
      </c>
      <c r="H1123" t="n">
        <v>0.0339857545056307</v>
      </c>
      <c r="I1123" t="n">
        <v>0.0376923481868868</v>
      </c>
      <c r="J1123" t="n">
        <v>0.1962058246434004</v>
      </c>
      <c r="K1123" t="n">
        <v>0.1106723190543029</v>
      </c>
      <c r="L1123" t="b">
        <v>0</v>
      </c>
      <c r="M1123" t="b">
        <v>0</v>
      </c>
      <c r="N1123" t="inlineStr">
        <is>
          <t>alt</t>
        </is>
      </c>
      <c r="O1123" t="n">
        <v>95</v>
      </c>
      <c r="P1123" t="n">
        <v>0.08325</v>
      </c>
      <c r="Q1123" t="n">
        <v>100</v>
      </c>
      <c r="R1123" t="n">
        <v>0.11426</v>
      </c>
      <c r="S1123">
        <f>IMAGE("https://mitra.stanford.edu/kundaje/oak/projects/neuro-variants/variant_position/credible/roussos_2024/variant_figures/roussos_2024.infant.GLU/rs115587611_count_position.png",4,220,900)</f>
        <v/>
      </c>
      <c r="T1123">
        <f>IMAGE("https://mitra.stanford.edu/kundaje/oak/projects/neuro-variants/variant_position/credible/roussos_2024/variant_figures/roussos_2024.infant.GLU/rs115587611_profile_position.png",4,220,900)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0.0242828696</v>
      </c>
      <c r="G1124" t="n">
        <v>0.3770268409307439</v>
      </c>
      <c r="H1124" t="n">
        <v>0.0352656577555888</v>
      </c>
      <c r="I1124" t="n">
        <v>0.0327782058501484</v>
      </c>
      <c r="J1124" t="n">
        <v>0.4195209330011685</v>
      </c>
      <c r="K1124" t="n">
        <v>0.0417708725422636</v>
      </c>
      <c r="L1124" t="b">
        <v>0</v>
      </c>
      <c r="M1124" t="b">
        <v>0</v>
      </c>
      <c r="N1124" t="inlineStr">
        <is>
          <t>alt</t>
        </is>
      </c>
      <c r="O1124" t="n">
        <v>-100</v>
      </c>
      <c r="P1124" t="n">
        <v>0.04443</v>
      </c>
      <c r="Q1124" t="n">
        <v>-100</v>
      </c>
      <c r="R1124" t="n">
        <v>0.2612</v>
      </c>
      <c r="S1124">
        <f>IMAGE("https://mitra.stanford.edu/kundaje/oak/projects/neuro-variants/variant_position/credible/roussos_2024/variant_figures/roussos_2024.infant.GLU/rs115470719_count_position.png",4,220,900)</f>
        <v/>
      </c>
      <c r="T1124">
        <f>IMAGE("https://mitra.stanford.edu/kundaje/oak/projects/neuro-variants/variant_position/credible/roussos_2024/variant_figures/roussos_2024.infant.GLU/rs115470719_profile_position.png",4,220,900)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0.0566577424</v>
      </c>
      <c r="G1125" t="n">
        <v>0.1421809384112234</v>
      </c>
      <c r="H1125" t="n">
        <v>0.0233339056025503</v>
      </c>
      <c r="I1125" t="n">
        <v>0.1232848949089292</v>
      </c>
      <c r="J1125" t="n">
        <v>0.0745254525011574</v>
      </c>
      <c r="K1125" t="n">
        <v>0.2603966052542745</v>
      </c>
      <c r="L1125" t="b">
        <v>0</v>
      </c>
      <c r="M1125" t="b">
        <v>0</v>
      </c>
      <c r="N1125" t="inlineStr">
        <is>
          <t>alt</t>
        </is>
      </c>
      <c r="O1125" t="n">
        <v>35</v>
      </c>
      <c r="P1125" t="n">
        <v>0.09909999999999999</v>
      </c>
      <c r="Q1125" t="n">
        <v>100</v>
      </c>
      <c r="R1125" t="n">
        <v>0.1409</v>
      </c>
      <c r="S1125">
        <f>IMAGE("https://mitra.stanford.edu/kundaje/oak/projects/neuro-variants/variant_position/credible/roussos_2024/variant_figures/roussos_2024.infant.GLU/rs61966906_count_position.png",4,220,900)</f>
        <v/>
      </c>
      <c r="T1125">
        <f>IMAGE("https://mitra.stanford.edu/kundaje/oak/projects/neuro-variants/variant_position/credible/roussos_2024/variant_figures/roussos_2024.infant.GLU/rs61966906_profile_position.png",4,220,900)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-0.0543526368</v>
      </c>
      <c r="G1126" t="n">
        <v>0.1557145736116052</v>
      </c>
      <c r="H1126" t="n">
        <v>0.0090545599259886</v>
      </c>
      <c r="I1126" t="n">
        <v>0.8289949845442974</v>
      </c>
      <c r="J1126" t="n">
        <v>0.0318734980929914</v>
      </c>
      <c r="K1126" t="n">
        <v>0.435339075369859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0.03644</v>
      </c>
      <c r="Q1126" t="n">
        <v>-10</v>
      </c>
      <c r="R1126" t="n">
        <v>0.02625</v>
      </c>
      <c r="S1126">
        <f>IMAGE("https://mitra.stanford.edu/kundaje/oak/projects/neuro-variants/variant_position/credible/roussos_2024/variant_figures/roussos_2024.infant.GLU/rs61966910_count_position.png",4,220,900)</f>
        <v/>
      </c>
      <c r="T1126">
        <f>IMAGE("https://mitra.stanford.edu/kundaje/oak/projects/neuro-variants/variant_position/credible/roussos_2024/variant_figures/roussos_2024.infant.GLU/rs61966910_profile_position.png",4,220,900)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-0.0387074391999999</v>
      </c>
      <c r="G1127" t="n">
        <v>0.2543746426731966</v>
      </c>
      <c r="H1127" t="n">
        <v>0.0114575041086424</v>
      </c>
      <c r="I1127" t="n">
        <v>0.6033370818947063</v>
      </c>
      <c r="J1127" t="n">
        <v>0.4155481822791508</v>
      </c>
      <c r="K1127" t="n">
        <v>0.0425079891974575</v>
      </c>
      <c r="L1127" t="b">
        <v>0</v>
      </c>
      <c r="M1127" t="b">
        <v>0</v>
      </c>
      <c r="N1127" t="inlineStr">
        <is>
          <t>ref</t>
        </is>
      </c>
      <c r="O1127" t="n">
        <v>100</v>
      </c>
      <c r="P1127" t="n">
        <v>0.01478</v>
      </c>
      <c r="Q1127" t="n">
        <v>-30</v>
      </c>
      <c r="R1127" t="n">
        <v>0.05762</v>
      </c>
      <c r="S1127">
        <f>IMAGE("https://mitra.stanford.edu/kundaje/oak/projects/neuro-variants/variant_position/credible/roussos_2024/variant_figures/roussos_2024.infant.GLU/rs11616787_count_position.png",4,220,900)</f>
        <v/>
      </c>
      <c r="T1127">
        <f>IMAGE("https://mitra.stanford.edu/kundaje/oak/projects/neuro-variants/variant_position/credible/roussos_2024/variant_figures/roussos_2024.infant.GLU/rs11616787_profile_position.png",4,220,900)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0.0068543550199999</v>
      </c>
      <c r="G1128" t="n">
        <v>0.7245717420523734</v>
      </c>
      <c r="H1128" t="n">
        <v>0.0100527998595357</v>
      </c>
      <c r="I1128" t="n">
        <v>0.7314400470836315</v>
      </c>
      <c r="J1128" t="n">
        <v>0.0122180824092241</v>
      </c>
      <c r="K1128" t="n">
        <v>0.6349015882343648</v>
      </c>
      <c r="L1128" t="b">
        <v>0</v>
      </c>
      <c r="M1128" t="b">
        <v>0</v>
      </c>
      <c r="N1128" t="inlineStr">
        <is>
          <t>alt</t>
        </is>
      </c>
      <c r="O1128" t="n">
        <v>-20</v>
      </c>
      <c r="P1128" t="n">
        <v>0.0269</v>
      </c>
      <c r="Q1128" t="n">
        <v>85</v>
      </c>
      <c r="R1128" t="n">
        <v>0.1384</v>
      </c>
      <c r="S1128">
        <f>IMAGE("https://mitra.stanford.edu/kundaje/oak/projects/neuro-variants/variant_position/credible/roussos_2024/variant_figures/roussos_2024.infant.GLU/rs11620555_count_position.png",4,220,900)</f>
        <v/>
      </c>
      <c r="T1128">
        <f>IMAGE("https://mitra.stanford.edu/kundaje/oak/projects/neuro-variants/variant_position/credible/roussos_2024/variant_figures/roussos_2024.infant.GLU/rs11620555_profile_position.png",4,220,900)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-0.09211293600000001</v>
      </c>
      <c r="G1129" t="n">
        <v>0.0611164020349214</v>
      </c>
      <c r="H1129" t="n">
        <v>0.0142238275389264</v>
      </c>
      <c r="I1129" t="n">
        <v>0.4025476621604217</v>
      </c>
      <c r="J1129" t="n">
        <v>0.0927676977005665</v>
      </c>
      <c r="K1129" t="n">
        <v>0.2222758364545607</v>
      </c>
      <c r="L1129" t="b">
        <v>0</v>
      </c>
      <c r="M1129" t="b">
        <v>0</v>
      </c>
      <c r="N1129" t="inlineStr">
        <is>
          <t>ref</t>
        </is>
      </c>
      <c r="O1129" t="n">
        <v>-80</v>
      </c>
      <c r="P1129" t="n">
        <v>0.03458</v>
      </c>
      <c r="Q1129" t="n">
        <v>-70</v>
      </c>
      <c r="R1129" t="n">
        <v>0.1812</v>
      </c>
      <c r="S1129">
        <f>IMAGE("https://mitra.stanford.edu/kundaje/oak/projects/neuro-variants/variant_position/credible/roussos_2024/variant_figures/roussos_2024.infant.GLU/rs11842501_count_position.png",4,220,900)</f>
        <v/>
      </c>
      <c r="T1129">
        <f>IMAGE("https://mitra.stanford.edu/kundaje/oak/projects/neuro-variants/variant_position/credible/roussos_2024/variant_figures/roussos_2024.infant.GLU/rs11842501_profile_position.png",4,220,900)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0.0086679279199999</v>
      </c>
      <c r="G1130" t="n">
        <v>0.6080376468328919</v>
      </c>
      <c r="H1130" t="n">
        <v>0.0087153863860534</v>
      </c>
      <c r="I1130" t="n">
        <v>0.8357767375246485</v>
      </c>
      <c r="J1130" t="n">
        <v>0.0924810952622412</v>
      </c>
      <c r="K1130" t="n">
        <v>0.2240105694702238</v>
      </c>
      <c r="L1130" t="b">
        <v>0</v>
      </c>
      <c r="M1130" t="b">
        <v>0</v>
      </c>
      <c r="N1130" t="inlineStr">
        <is>
          <t>alt</t>
        </is>
      </c>
      <c r="O1130" t="n">
        <v>70</v>
      </c>
      <c r="P1130" t="n">
        <v>0.007347</v>
      </c>
      <c r="Q1130" t="n">
        <v>-75</v>
      </c>
      <c r="R1130" t="n">
        <v>0.1698</v>
      </c>
      <c r="S1130">
        <f>IMAGE("https://mitra.stanford.edu/kundaje/oak/projects/neuro-variants/variant_position/credible/roussos_2024/variant_figures/roussos_2024.infant.GLU/rs61966935_count_position.png",4,220,900)</f>
        <v/>
      </c>
      <c r="T1130">
        <f>IMAGE("https://mitra.stanford.edu/kundaje/oak/projects/neuro-variants/variant_position/credible/roussos_2024/variant_figures/roussos_2024.infant.GLU/rs61966935_profile_position.png",4,220,900)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0.1804217899999999</v>
      </c>
      <c r="G1131" t="n">
        <v>0.0136626933497833</v>
      </c>
      <c r="H1131" t="n">
        <v>0.0434620150859508</v>
      </c>
      <c r="I1131" t="n">
        <v>0.0144692131325422</v>
      </c>
      <c r="J1131" t="n">
        <v>0.1131319032606538</v>
      </c>
      <c r="K1131" t="n">
        <v>0.1932442153770122</v>
      </c>
      <c r="L1131" t="b">
        <v>1</v>
      </c>
      <c r="M1131" t="b">
        <v>0</v>
      </c>
      <c r="N1131" t="inlineStr">
        <is>
          <t>alt</t>
        </is>
      </c>
      <c r="O1131" t="n">
        <v>-100</v>
      </c>
      <c r="P1131" t="n">
        <v>0.08210000000000001</v>
      </c>
      <c r="Q1131" t="n">
        <v>-30</v>
      </c>
      <c r="R1131" t="n">
        <v>0.01953</v>
      </c>
      <c r="S1131">
        <f>IMAGE("https://mitra.stanford.edu/kundaje/oak/projects/neuro-variants/variant_position/credible/roussos_2024/variant_figures/roussos_2024.infant.GLU/rs11618566_count_position.png",4,220,900)</f>
        <v/>
      </c>
      <c r="T1131">
        <f>IMAGE("https://mitra.stanford.edu/kundaje/oak/projects/neuro-variants/variant_position/credible/roussos_2024/variant_figures/roussos_2024.infant.GLU/rs11618566_profile_position.png",4,220,900)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-0.0036439836399999</v>
      </c>
      <c r="G1132" t="n">
        <v>0.6162676349516716</v>
      </c>
      <c r="H1132" t="n">
        <v>0.0248351671011221</v>
      </c>
      <c r="I1132" t="n">
        <v>0.1031121475778396</v>
      </c>
      <c r="J1132" t="n">
        <v>0.010560197535219</v>
      </c>
      <c r="K1132" t="n">
        <v>0.6503078383800551</v>
      </c>
      <c r="L1132" t="b">
        <v>0</v>
      </c>
      <c r="M1132" t="b">
        <v>0</v>
      </c>
      <c r="N1132" t="inlineStr">
        <is>
          <t>ref</t>
        </is>
      </c>
      <c r="O1132" t="n">
        <v>45</v>
      </c>
      <c r="P1132" t="n">
        <v>0.003906</v>
      </c>
      <c r="Q1132" t="n">
        <v>100</v>
      </c>
      <c r="R1132" t="n">
        <v>0.002716</v>
      </c>
      <c r="S1132">
        <f>IMAGE("https://mitra.stanford.edu/kundaje/oak/projects/neuro-variants/variant_position/credible/roussos_2024/variant_figures/roussos_2024.infant.GLU/rs7993037_count_position.png",4,220,900)</f>
        <v/>
      </c>
      <c r="T1132">
        <f>IMAGE("https://mitra.stanford.edu/kundaje/oak/projects/neuro-variants/variant_position/credible/roussos_2024/variant_figures/roussos_2024.infant.GLU/rs7993037_profile_position.png",4,220,900)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0.0276010898</v>
      </c>
      <c r="G1133" t="n">
        <v>0.3387641463095475</v>
      </c>
      <c r="H1133" t="n">
        <v>0.0222088344941972</v>
      </c>
      <c r="I1133" t="n">
        <v>0.1406719729873203</v>
      </c>
      <c r="J1133" t="n">
        <v>0.0117297559470005</v>
      </c>
      <c r="K1133" t="n">
        <v>0.634119273377539</v>
      </c>
      <c r="L1133" t="b">
        <v>0</v>
      </c>
      <c r="M1133" t="b">
        <v>0</v>
      </c>
      <c r="N1133" t="inlineStr">
        <is>
          <t>alt</t>
        </is>
      </c>
      <c r="O1133" t="n">
        <v>-20</v>
      </c>
      <c r="P1133" t="n">
        <v>0.003906</v>
      </c>
      <c r="Q1133" t="n">
        <v>95</v>
      </c>
      <c r="R1133" t="n">
        <v>0.03525</v>
      </c>
      <c r="S1133">
        <f>IMAGE("https://mitra.stanford.edu/kundaje/oak/projects/neuro-variants/variant_position/credible/roussos_2024/variant_figures/roussos_2024.infant.GLU/rs114779898_count_position.png",4,220,900)</f>
        <v/>
      </c>
      <c r="T1133">
        <f>IMAGE("https://mitra.stanford.edu/kundaje/oak/projects/neuro-variants/variant_position/credible/roussos_2024/variant_figures/roussos_2024.infant.GLU/rs114779898_profile_position.png",4,220,900)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-0.45010279</v>
      </c>
      <c r="G1134" t="n">
        <v>0.0006803673921975</v>
      </c>
      <c r="H1134" t="n">
        <v>0.0490872367246723</v>
      </c>
      <c r="I1134" t="n">
        <v>0.0086101773808752</v>
      </c>
      <c r="J1134" t="n">
        <v>0.4307667717542274</v>
      </c>
      <c r="K1134" t="n">
        <v>0.0399973244928425</v>
      </c>
      <c r="L1134" t="b">
        <v>1</v>
      </c>
      <c r="M1134" t="b">
        <v>1</v>
      </c>
      <c r="N1134" t="inlineStr">
        <is>
          <t>ref</t>
        </is>
      </c>
      <c r="O1134" t="n">
        <v>80</v>
      </c>
      <c r="P1134" t="n">
        <v>0.02509</v>
      </c>
      <c r="Q1134" t="n">
        <v>0</v>
      </c>
      <c r="R1134" t="n">
        <v>0</v>
      </c>
      <c r="S1134">
        <f>IMAGE("https://mitra.stanford.edu/kundaje/oak/projects/neuro-variants/variant_position/credible/roussos_2024/variant_figures/roussos_2024.infant.GLU/rs17486808_count_position.png",4,220,900)</f>
        <v/>
      </c>
      <c r="T1134">
        <f>IMAGE("https://mitra.stanford.edu/kundaje/oak/projects/neuro-variants/variant_position/credible/roussos_2024/variant_figures/roussos_2024.infant.GLU/rs17486808_profile_position.png",4,220,900)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0.054486093</v>
      </c>
      <c r="G1135" t="n">
        <v>0.1421945390074772</v>
      </c>
      <c r="H1135" t="n">
        <v>0.0112465165695004</v>
      </c>
      <c r="I1135" t="n">
        <v>0.621863337032497</v>
      </c>
      <c r="J1135" t="n">
        <v>0.1250975550607376</v>
      </c>
      <c r="K1135" t="n">
        <v>0.1725633273979778</v>
      </c>
      <c r="L1135" t="b">
        <v>0</v>
      </c>
      <c r="M1135" t="b">
        <v>0</v>
      </c>
      <c r="N1135" t="inlineStr">
        <is>
          <t>alt</t>
        </is>
      </c>
      <c r="O1135" t="n">
        <v>-5</v>
      </c>
      <c r="P1135" t="n">
        <v>0.0012665</v>
      </c>
      <c r="Q1135" t="n">
        <v>40</v>
      </c>
      <c r="R1135" t="n">
        <v>0.06809999999999999</v>
      </c>
      <c r="S1135">
        <f>IMAGE("https://mitra.stanford.edu/kundaje/oak/projects/neuro-variants/variant_position/credible/roussos_2024/variant_figures/roussos_2024.infant.GLU/rs61973699_count_position.png",4,220,900)</f>
        <v/>
      </c>
      <c r="T1135">
        <f>IMAGE("https://mitra.stanford.edu/kundaje/oak/projects/neuro-variants/variant_position/credible/roussos_2024/variant_figures/roussos_2024.infant.GLU/rs61973699_profile_position.png",4,220,900)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0.0054939707999999</v>
      </c>
      <c r="G1136" t="n">
        <v>0.4622794816437565</v>
      </c>
      <c r="H1136" t="n">
        <v>0.0295225973900229</v>
      </c>
      <c r="I1136" t="n">
        <v>0.0609422502968155</v>
      </c>
      <c r="J1136" t="n">
        <v>0.0160673736193477</v>
      </c>
      <c r="K1136" t="n">
        <v>0.5816430831603274</v>
      </c>
      <c r="L1136" t="b">
        <v>0</v>
      </c>
      <c r="M1136" t="b">
        <v>0</v>
      </c>
      <c r="N1136" t="inlineStr">
        <is>
          <t>alt</t>
        </is>
      </c>
      <c r="O1136" t="n">
        <v>35</v>
      </c>
      <c r="P1136" t="n">
        <v>0.00029</v>
      </c>
      <c r="Q1136" t="n">
        <v>100</v>
      </c>
      <c r="R1136" t="n">
        <v>0.022</v>
      </c>
      <c r="S1136">
        <f>IMAGE("https://mitra.stanford.edu/kundaje/oak/projects/neuro-variants/variant_position/credible/roussos_2024/variant_figures/roussos_2024.infant.GLU/rs56313970_count_position.png",4,220,900)</f>
        <v/>
      </c>
      <c r="T1136">
        <f>IMAGE("https://mitra.stanford.edu/kundaje/oak/projects/neuro-variants/variant_position/credible/roussos_2024/variant_figures/roussos_2024.infant.GLU/rs56313970_profile_position.png",4,220,900)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-0.0176465004</v>
      </c>
      <c r="G1137" t="n">
        <v>0.48728949144694</v>
      </c>
      <c r="H1137" t="n">
        <v>0.043104250723513</v>
      </c>
      <c r="I1137" t="n">
        <v>0.0148067140265879</v>
      </c>
      <c r="J1137" t="n">
        <v>0.0125487775303687</v>
      </c>
      <c r="K1137" t="n">
        <v>0.6278264798568113</v>
      </c>
      <c r="L1137" t="b">
        <v>1</v>
      </c>
      <c r="M1137" t="b">
        <v>0</v>
      </c>
      <c r="N1137" t="inlineStr">
        <is>
          <t>ref</t>
        </is>
      </c>
      <c r="O1137" t="n">
        <v>-50</v>
      </c>
      <c r="P1137" t="n">
        <v>0.02252</v>
      </c>
      <c r="Q1137" t="n">
        <v>-100</v>
      </c>
      <c r="R1137" t="n">
        <v>0.0731</v>
      </c>
      <c r="S1137">
        <f>IMAGE("https://mitra.stanford.edu/kundaje/oak/projects/neuro-variants/variant_position/credible/roussos_2024/variant_figures/roussos_2024.infant.GLU/rs55865304_count_position.png",4,220,900)</f>
        <v/>
      </c>
      <c r="T1137">
        <f>IMAGE("https://mitra.stanford.edu/kundaje/oak/projects/neuro-variants/variant_position/credible/roussos_2024/variant_figures/roussos_2024.infant.GLU/rs55865304_profile_position.png",4,220,900)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-0.0650683904</v>
      </c>
      <c r="G1138" t="n">
        <v>0.110748982502308</v>
      </c>
      <c r="H1138" t="n">
        <v>0.0082407350459407</v>
      </c>
      <c r="I1138" t="n">
        <v>0.8955986272214842</v>
      </c>
      <c r="J1138" t="n">
        <v>0.0142331180140655</v>
      </c>
      <c r="K1138" t="n">
        <v>0.6052181411038187</v>
      </c>
      <c r="L1138" t="b">
        <v>0</v>
      </c>
      <c r="M1138" t="b">
        <v>0</v>
      </c>
      <c r="N1138" t="inlineStr">
        <is>
          <t>ref</t>
        </is>
      </c>
      <c r="O1138" t="n">
        <v>-50</v>
      </c>
      <c r="P1138" t="n">
        <v>0.003632</v>
      </c>
      <c r="Q1138" t="n">
        <v>100</v>
      </c>
      <c r="R1138" t="n">
        <v>0.07025000000000001</v>
      </c>
      <c r="S1138">
        <f>IMAGE("https://mitra.stanford.edu/kundaje/oak/projects/neuro-variants/variant_position/credible/roussos_2024/variant_figures/roussos_2024.infant.GLU/rs61973707_count_position.png",4,220,900)</f>
        <v/>
      </c>
      <c r="T1138">
        <f>IMAGE("https://mitra.stanford.edu/kundaje/oak/projects/neuro-variants/variant_position/credible/roussos_2024/variant_figures/roussos_2024.infant.GLU/rs61973707_profile_position.png",4,220,900)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0.0437272588</v>
      </c>
      <c r="G1139" t="n">
        <v>0.2096812664715446</v>
      </c>
      <c r="H1139" t="n">
        <v>0.0100086717521988</v>
      </c>
      <c r="I1139" t="n">
        <v>0.72623081721224</v>
      </c>
      <c r="J1139" t="n">
        <v>0.0123867369210079</v>
      </c>
      <c r="K1139" t="n">
        <v>0.627396463611357</v>
      </c>
      <c r="L1139" t="b">
        <v>0</v>
      </c>
      <c r="M1139" t="b">
        <v>0</v>
      </c>
      <c r="N1139" t="inlineStr">
        <is>
          <t>alt</t>
        </is>
      </c>
      <c r="O1139" t="n">
        <v>-100</v>
      </c>
      <c r="P1139" t="n">
        <v>0.013435</v>
      </c>
      <c r="Q1139" t="n">
        <v>-10</v>
      </c>
      <c r="R1139" t="n">
        <v>0.004913</v>
      </c>
      <c r="S1139">
        <f>IMAGE("https://mitra.stanford.edu/kundaje/oak/projects/neuro-variants/variant_position/credible/roussos_2024/variant_figures/roussos_2024.infant.GLU/rs12429854_count_position.png",4,220,900)</f>
        <v/>
      </c>
      <c r="T1139">
        <f>IMAGE("https://mitra.stanford.edu/kundaje/oak/projects/neuro-variants/variant_position/credible/roussos_2024/variant_figures/roussos_2024.infant.GLU/rs12429854_profile_position.png",4,220,900)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-0.059149958</v>
      </c>
      <c r="G1140" t="n">
        <v>0.1314421894086141</v>
      </c>
      <c r="H1140" t="n">
        <v>0.0139603361834285</v>
      </c>
      <c r="I1140" t="n">
        <v>0.4186160883225303</v>
      </c>
      <c r="J1140" t="n">
        <v>0.058607994003395</v>
      </c>
      <c r="K1140" t="n">
        <v>0.3042038868926843</v>
      </c>
      <c r="L1140" t="b">
        <v>0</v>
      </c>
      <c r="M1140" t="b">
        <v>0</v>
      </c>
      <c r="N1140" t="inlineStr">
        <is>
          <t>ref</t>
        </is>
      </c>
      <c r="O1140" t="n">
        <v>55</v>
      </c>
      <c r="P1140" t="n">
        <v>0.015594</v>
      </c>
      <c r="Q1140" t="n">
        <v>-80</v>
      </c>
      <c r="R1140" t="n">
        <v>0.129</v>
      </c>
      <c r="S1140">
        <f>IMAGE("https://mitra.stanford.edu/kundaje/oak/projects/neuro-variants/variant_position/credible/roussos_2024/variant_figures/roussos_2024.infant.GLU/rs9585685_count_position.png",4,220,900)</f>
        <v/>
      </c>
      <c r="T1140">
        <f>IMAGE("https://mitra.stanford.edu/kundaje/oak/projects/neuro-variants/variant_position/credible/roussos_2024/variant_figures/roussos_2024.infant.GLU/rs9585685_profile_position.png",4,220,900)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-0.0743652002</v>
      </c>
      <c r="G1141" t="n">
        <v>0.0948732016651409</v>
      </c>
      <c r="H1141" t="n">
        <v>0.0174101776948075</v>
      </c>
      <c r="I1141" t="n">
        <v>0.2581858488576879</v>
      </c>
      <c r="J1141" t="n">
        <v>0.1677274631274939</v>
      </c>
      <c r="K1141" t="n">
        <v>0.1337475919911034</v>
      </c>
      <c r="L1141" t="b">
        <v>0</v>
      </c>
      <c r="M1141" t="b">
        <v>0</v>
      </c>
      <c r="N1141" t="inlineStr">
        <is>
          <t>ref</t>
        </is>
      </c>
      <c r="O1141" t="n">
        <v>-100</v>
      </c>
      <c r="P1141" t="n">
        <v>0.010185</v>
      </c>
      <c r="Q1141" t="n">
        <v>-95</v>
      </c>
      <c r="R1141" t="n">
        <v>0.06726</v>
      </c>
      <c r="S1141">
        <f>IMAGE("https://mitra.stanford.edu/kundaje/oak/projects/neuro-variants/variant_position/credible/roussos_2024/variant_figures/roussos_2024.infant.GLU/rs9559929_count_position.png",4,220,900)</f>
        <v/>
      </c>
      <c r="T1141">
        <f>IMAGE("https://mitra.stanford.edu/kundaje/oak/projects/neuro-variants/variant_position/credible/roussos_2024/variant_figures/roussos_2024.infant.GLU/rs9559929_profile_position.png",4,220,900)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-0.01403308996</v>
      </c>
      <c r="G1142" t="n">
        <v>0.4195443369571907</v>
      </c>
      <c r="H1142" t="n">
        <v>0.0226862680868285</v>
      </c>
      <c r="I1142" t="n">
        <v>0.1428229574001534</v>
      </c>
      <c r="J1142" t="n">
        <v>0.0628640402125266</v>
      </c>
      <c r="K1142" t="n">
        <v>0.2983669190006239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0.02997</v>
      </c>
      <c r="Q1142" t="n">
        <v>90</v>
      </c>
      <c r="R1142" t="n">
        <v>0.0222</v>
      </c>
      <c r="S1142">
        <f>IMAGE("https://mitra.stanford.edu/kundaje/oak/projects/neuro-variants/variant_position/credible/roussos_2024/variant_figures/roussos_2024.infant.GLU/rs9559931_count_position.png",4,220,900)</f>
        <v/>
      </c>
      <c r="T1142">
        <f>IMAGE("https://mitra.stanford.edu/kundaje/oak/projects/neuro-variants/variant_position/credible/roussos_2024/variant_figures/roussos_2024.infant.GLU/rs9559931_profile_position.png",4,220,900)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-0.0059047698799999</v>
      </c>
      <c r="G1143" t="n">
        <v>0.438452271729456</v>
      </c>
      <c r="H1143" t="n">
        <v>0.0158940059907427</v>
      </c>
      <c r="I1143" t="n">
        <v>0.3454234506894772</v>
      </c>
      <c r="J1143" t="n">
        <v>0.0625344474084525</v>
      </c>
      <c r="K1143" t="n">
        <v>0.2991642142392676</v>
      </c>
      <c r="L1143" t="b">
        <v>0</v>
      </c>
      <c r="M1143" t="b">
        <v>0</v>
      </c>
      <c r="N1143" t="inlineStr">
        <is>
          <t>ref</t>
        </is>
      </c>
      <c r="O1143" t="n">
        <v>100</v>
      </c>
      <c r="P1143" t="n">
        <v>0.03342</v>
      </c>
      <c r="Q1143" t="n">
        <v>30</v>
      </c>
      <c r="R1143" t="n">
        <v>0.019</v>
      </c>
      <c r="S1143">
        <f>IMAGE("https://mitra.stanford.edu/kundaje/oak/projects/neuro-variants/variant_position/credible/roussos_2024/variant_figures/roussos_2024.infant.GLU/rs9559932_count_position.png",4,220,900)</f>
        <v/>
      </c>
      <c r="T1143">
        <f>IMAGE("https://mitra.stanford.edu/kundaje/oak/projects/neuro-variants/variant_position/credible/roussos_2024/variant_figures/roussos_2024.infant.GLU/rs9559932_profile_position.png",4,220,900)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0.102666941</v>
      </c>
      <c r="G1144" t="n">
        <v>0.0480367652979772</v>
      </c>
      <c r="H1144" t="n">
        <v>0.0474164533482536</v>
      </c>
      <c r="I1144" t="n">
        <v>0.0098828205563249</v>
      </c>
      <c r="J1144" t="n">
        <v>0.1617518022884101</v>
      </c>
      <c r="K1144" t="n">
        <v>0.1336336333095802</v>
      </c>
      <c r="L1144" t="b">
        <v>1</v>
      </c>
      <c r="M1144" t="b">
        <v>1</v>
      </c>
      <c r="N1144" t="inlineStr">
        <is>
          <t>alt</t>
        </is>
      </c>
      <c r="O1144" t="n">
        <v>25</v>
      </c>
      <c r="P1144" t="n">
        <v>0.03442</v>
      </c>
      <c r="Q1144" t="n">
        <v>25</v>
      </c>
      <c r="R1144" t="n">
        <v>0.04785</v>
      </c>
      <c r="S1144">
        <f>IMAGE("https://mitra.stanford.edu/kundaje/oak/projects/neuro-variants/variant_position/credible/roussos_2024/variant_figures/roussos_2024.infant.GLU/rs9559934_count_position.png",4,220,900)</f>
        <v/>
      </c>
      <c r="T1144">
        <f>IMAGE("https://mitra.stanford.edu/kundaje/oak/projects/neuro-variants/variant_position/credible/roussos_2024/variant_figures/roussos_2024.infant.GLU/rs9559934_profile_position.png",4,220,900)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-0.0655564922</v>
      </c>
      <c r="G1145" t="n">
        <v>0.1131299160337456</v>
      </c>
      <c r="H1145" t="n">
        <v>0.0235456100244396</v>
      </c>
      <c r="I1145" t="n">
        <v>0.1246982835357268</v>
      </c>
      <c r="J1145" t="n">
        <v>0.1892920919773363</v>
      </c>
      <c r="K1145" t="n">
        <v>0.1155226859810178</v>
      </c>
      <c r="L1145" t="b">
        <v>0</v>
      </c>
      <c r="M1145" t="b">
        <v>0</v>
      </c>
      <c r="N1145" t="inlineStr">
        <is>
          <t>ref</t>
        </is>
      </c>
      <c r="O1145" t="n">
        <v>-95</v>
      </c>
      <c r="P1145" t="n">
        <v>0.00697</v>
      </c>
      <c r="Q1145" t="n">
        <v>-75</v>
      </c>
      <c r="R1145" t="n">
        <v>0.05835</v>
      </c>
      <c r="S1145">
        <f>IMAGE("https://mitra.stanford.edu/kundaje/oak/projects/neuro-variants/variant_position/credible/roussos_2024/variant_figures/roussos_2024.infant.GLU/rs34061305_count_position.png",4,220,900)</f>
        <v/>
      </c>
      <c r="T1145">
        <f>IMAGE("https://mitra.stanford.edu/kundaje/oak/projects/neuro-variants/variant_position/credible/roussos_2024/variant_figures/roussos_2024.infant.GLU/rs34061305_profile_position.png",4,220,900)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0.07433049139999991</v>
      </c>
      <c r="G1146" t="n">
        <v>0.09471288051324279</v>
      </c>
      <c r="H1146" t="n">
        <v>0.0150386084197865</v>
      </c>
      <c r="I1146" t="n">
        <v>0.3617794262635342</v>
      </c>
      <c r="J1146" t="n">
        <v>0.0715723450693357</v>
      </c>
      <c r="K1146" t="n">
        <v>0.2705214888115164</v>
      </c>
      <c r="L1146" t="b">
        <v>0</v>
      </c>
      <c r="M1146" t="b">
        <v>0</v>
      </c>
      <c r="N1146" t="inlineStr">
        <is>
          <t>alt</t>
        </is>
      </c>
      <c r="O1146" t="n">
        <v>100</v>
      </c>
      <c r="P1146" t="n">
        <v>0.006016</v>
      </c>
      <c r="Q1146" t="n">
        <v>-55</v>
      </c>
      <c r="R1146" t="n">
        <v>0.02148</v>
      </c>
      <c r="S1146">
        <f>IMAGE("https://mitra.stanford.edu/kundaje/oak/projects/neuro-variants/variant_position/credible/roussos_2024/variant_figures/roussos_2024.infant.GLU/rs9522088_count_position.png",4,220,900)</f>
        <v/>
      </c>
      <c r="T1146">
        <f>IMAGE("https://mitra.stanford.edu/kundaje/oak/projects/neuro-variants/variant_position/credible/roussos_2024/variant_figures/roussos_2024.infant.GLU/rs9522088_profile_position.png",4,220,900)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0.00458705832</v>
      </c>
      <c r="G1147" t="n">
        <v>0.4793227331703802</v>
      </c>
      <c r="H1147" t="n">
        <v>0.0186963338821825</v>
      </c>
      <c r="I1147" t="n">
        <v>0.2377686051843444</v>
      </c>
      <c r="J1147" t="n">
        <v>0.4008807513393152</v>
      </c>
      <c r="K1147" t="n">
        <v>0.0450386449948792</v>
      </c>
      <c r="L1147" t="b">
        <v>0</v>
      </c>
      <c r="M1147" t="b">
        <v>0</v>
      </c>
      <c r="N1147" t="inlineStr">
        <is>
          <t>alt</t>
        </is>
      </c>
      <c r="O1147" t="n">
        <v>20</v>
      </c>
      <c r="P1147" t="n">
        <v>0.009220000000000001</v>
      </c>
      <c r="Q1147" t="n">
        <v>-85</v>
      </c>
      <c r="R1147" t="n">
        <v>0.04175</v>
      </c>
      <c r="S1147">
        <f>IMAGE("https://mitra.stanford.edu/kundaje/oak/projects/neuro-variants/variant_position/credible/roussos_2024/variant_figures/roussos_2024.infant.GLU/rs9515358_count_position.png",4,220,900)</f>
        <v/>
      </c>
      <c r="T1147">
        <f>IMAGE("https://mitra.stanford.edu/kundaje/oak/projects/neuro-variants/variant_position/credible/roussos_2024/variant_figures/roussos_2024.infant.GLU/rs9515358_profile_position.png",4,220,900)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0.026550847</v>
      </c>
      <c r="G1148" t="n">
        <v>0.3542607425517252</v>
      </c>
      <c r="H1148" t="n">
        <v>0.0313747488375408</v>
      </c>
      <c r="I1148" t="n">
        <v>0.0496160172180427</v>
      </c>
      <c r="J1148" t="n">
        <v>0.107130889128949</v>
      </c>
      <c r="K1148" t="n">
        <v>0.201289725281784</v>
      </c>
      <c r="L1148" t="b">
        <v>0</v>
      </c>
      <c r="M1148" t="b">
        <v>0</v>
      </c>
      <c r="N1148" t="inlineStr">
        <is>
          <t>alt</t>
        </is>
      </c>
      <c r="O1148" t="n">
        <v>0</v>
      </c>
      <c r="P1148" t="n">
        <v>0</v>
      </c>
      <c r="Q1148" t="n">
        <v>10</v>
      </c>
      <c r="R1148" t="n">
        <v>0.0437</v>
      </c>
      <c r="S1148">
        <f>IMAGE("https://mitra.stanford.edu/kundaje/oak/projects/neuro-variants/variant_position/credible/roussos_2024/variant_figures/roussos_2024.infant.GLU/rs9559947_count_position.png",4,220,900)</f>
        <v/>
      </c>
      <c r="T1148">
        <f>IMAGE("https://mitra.stanford.edu/kundaje/oak/projects/neuro-variants/variant_position/credible/roussos_2024/variant_figures/roussos_2024.infant.GLU/rs9559947_profile_position.png",4,220,900)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-0.177721184</v>
      </c>
      <c r="G1149" t="n">
        <v>0.014077476425232</v>
      </c>
      <c r="H1149" t="n">
        <v>0.0249869946935221</v>
      </c>
      <c r="I1149" t="n">
        <v>0.1022709157876429</v>
      </c>
      <c r="J1149" t="n">
        <v>0.3206783659251747</v>
      </c>
      <c r="K1149" t="n">
        <v>0.06250061922218909</v>
      </c>
      <c r="L1149" t="b">
        <v>1</v>
      </c>
      <c r="M1149" t="b">
        <v>0</v>
      </c>
      <c r="N1149" t="inlineStr">
        <is>
          <t>ref</t>
        </is>
      </c>
      <c r="O1149" t="n">
        <v>100</v>
      </c>
      <c r="P1149" t="n">
        <v>0.02217</v>
      </c>
      <c r="Q1149" t="n">
        <v>100</v>
      </c>
      <c r="R1149" t="n">
        <v>0.1117</v>
      </c>
      <c r="S1149">
        <f>IMAGE("https://mitra.stanford.edu/kundaje/oak/projects/neuro-variants/variant_position/credible/roussos_2024/variant_figures/roussos_2024.infant.GLU/rs1888848_count_position.png",4,220,900)</f>
        <v/>
      </c>
      <c r="T1149">
        <f>IMAGE("https://mitra.stanford.edu/kundaje/oak/projects/neuro-variants/variant_position/credible/roussos_2024/variant_figures/roussos_2024.infant.GLU/rs1888848_profile_position.png",4,220,900)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0.0049801499999999</v>
      </c>
      <c r="G1150" t="n">
        <v>0.0894370005814293</v>
      </c>
      <c r="H1150" t="n">
        <v>0.01579953029405</v>
      </c>
      <c r="I1150" t="n">
        <v>0.3294786911755681</v>
      </c>
      <c r="J1150" t="n">
        <v>0.3432229546506756</v>
      </c>
      <c r="K1150" t="n">
        <v>0.056921292939502</v>
      </c>
      <c r="L1150" t="b">
        <v>0</v>
      </c>
      <c r="M1150" t="b">
        <v>0</v>
      </c>
      <c r="N1150" t="inlineStr">
        <is>
          <t>alt</t>
        </is>
      </c>
      <c r="O1150" t="n">
        <v>100</v>
      </c>
      <c r="P1150" t="n">
        <v>0.03635</v>
      </c>
      <c r="Q1150" t="n">
        <v>100</v>
      </c>
      <c r="R1150" t="n">
        <v>0.1483</v>
      </c>
      <c r="S1150">
        <f>IMAGE("https://mitra.stanford.edu/kundaje/oak/projects/neuro-variants/variant_position/credible/roussos_2024/variant_figures/roussos_2024.infant.GLU/rs1888847_count_position.png",4,220,900)</f>
        <v/>
      </c>
      <c r="T1150">
        <f>IMAGE("https://mitra.stanford.edu/kundaje/oak/projects/neuro-variants/variant_position/credible/roussos_2024/variant_figures/roussos_2024.infant.GLU/rs1888847_profile_position.png",4,220,900)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0.0494047414</v>
      </c>
      <c r="G1151" t="n">
        <v>0.1702805215721146</v>
      </c>
      <c r="H1151" t="n">
        <v>0.0151568463155303</v>
      </c>
      <c r="I1151" t="n">
        <v>0.3545724888211202</v>
      </c>
      <c r="J1151" t="n">
        <v>0.3567417712030688</v>
      </c>
      <c r="K1151" t="n">
        <v>0.0542508983249068</v>
      </c>
      <c r="L1151" t="b">
        <v>0</v>
      </c>
      <c r="M1151" t="b">
        <v>0</v>
      </c>
      <c r="N1151" t="inlineStr">
        <is>
          <t>alt</t>
        </is>
      </c>
      <c r="O1151" t="n">
        <v>100</v>
      </c>
      <c r="P1151" t="n">
        <v>0.05878</v>
      </c>
      <c r="Q1151" t="n">
        <v>95</v>
      </c>
      <c r="R1151" t="n">
        <v>0.06444999999999999</v>
      </c>
      <c r="S1151">
        <f>IMAGE("https://mitra.stanford.edu/kundaje/oak/projects/neuro-variants/variant_position/credible/roussos_2024/variant_figures/roussos_2024.infant.GLU/rs1810895_count_position.png",4,220,900)</f>
        <v/>
      </c>
      <c r="T1151">
        <f>IMAGE("https://mitra.stanford.edu/kundaje/oak/projects/neuro-variants/variant_position/credible/roussos_2024/variant_figures/roussos_2024.infant.GLU/rs1810895_profile_position.png",4,220,900)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-0.01017453494</v>
      </c>
      <c r="G1152" t="n">
        <v>0.5013442897477673</v>
      </c>
      <c r="H1152" t="n">
        <v>0.012126859248602</v>
      </c>
      <c r="I1152" t="n">
        <v>0.5523599097973164</v>
      </c>
      <c r="J1152" t="n">
        <v>0.0370841508851605</v>
      </c>
      <c r="K1152" t="n">
        <v>0.4080202325707653</v>
      </c>
      <c r="L1152" t="b">
        <v>0</v>
      </c>
      <c r="M1152" t="b">
        <v>0</v>
      </c>
      <c r="N1152" t="inlineStr">
        <is>
          <t>ref</t>
        </is>
      </c>
      <c r="O1152" t="n">
        <v>0</v>
      </c>
      <c r="P1152" t="n">
        <v>0</v>
      </c>
      <c r="Q1152" t="n">
        <v>-55</v>
      </c>
      <c r="R1152" t="n">
        <v>0.04462</v>
      </c>
      <c r="S1152">
        <f>IMAGE("https://mitra.stanford.edu/kundaje/oak/projects/neuro-variants/variant_position/credible/roussos_2024/variant_figures/roussos_2024.infant.GLU/rs75592562_count_position.png",4,220,900)</f>
        <v/>
      </c>
      <c r="T1152">
        <f>IMAGE("https://mitra.stanford.edu/kundaje/oak/projects/neuro-variants/variant_position/credible/roussos_2024/variant_figures/roussos_2024.infant.GLU/rs75592562_profile_position.png",4,220,900)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0.014013473</v>
      </c>
      <c r="G1153" t="n">
        <v>0.4042378891358646</v>
      </c>
      <c r="H1153" t="n">
        <v>0.0094264873716235</v>
      </c>
      <c r="I1153" t="n">
        <v>0.7969071158662901</v>
      </c>
      <c r="J1153" t="n">
        <v>0.039892854780749</v>
      </c>
      <c r="K1153" t="n">
        <v>0.3899647565304839</v>
      </c>
      <c r="L1153" t="b">
        <v>0</v>
      </c>
      <c r="M1153" t="b">
        <v>0</v>
      </c>
      <c r="N1153" t="inlineStr">
        <is>
          <t>alt</t>
        </is>
      </c>
      <c r="O1153" t="n">
        <v>-30</v>
      </c>
      <c r="P1153" t="n">
        <v>0.09032999999999999</v>
      </c>
      <c r="Q1153" t="n">
        <v>-85</v>
      </c>
      <c r="R1153" t="n">
        <v>0.07915999999999999</v>
      </c>
      <c r="S1153">
        <f>IMAGE("https://mitra.stanford.edu/kundaje/oak/projects/neuro-variants/variant_position/credible/roussos_2024/variant_figures/roussos_2024.infant.GLU/rs74241867_count_position.png",4,220,900)</f>
        <v/>
      </c>
      <c r="T1153">
        <f>IMAGE("https://mitra.stanford.edu/kundaje/oak/projects/neuro-variants/variant_position/credible/roussos_2024/variant_figures/roussos_2024.infant.GLU/rs74241867_profile_position.png",4,220,900)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0.0268410914999999</v>
      </c>
      <c r="G1154" t="n">
        <v>0.3607655478245798</v>
      </c>
      <c r="H1154" t="n">
        <v>0.0083395968264009</v>
      </c>
      <c r="I1154" t="n">
        <v>0.8500967404398866</v>
      </c>
      <c r="J1154" t="n">
        <v>0.0558819638880927</v>
      </c>
      <c r="K1154" t="n">
        <v>0.3240278195106225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0.1512</v>
      </c>
      <c r="Q1154" t="n">
        <v>-70</v>
      </c>
      <c r="R1154" t="n">
        <v>0.10596</v>
      </c>
      <c r="S1154">
        <f>IMAGE("https://mitra.stanford.edu/kundaje/oak/projects/neuro-variants/variant_position/credible/roussos_2024/variant_figures/roussos_2024.infant.GLU/rs2319380_count_position.png",4,220,900)</f>
        <v/>
      </c>
      <c r="T1154">
        <f>IMAGE("https://mitra.stanford.edu/kundaje/oak/projects/neuro-variants/variant_position/credible/roussos_2024/variant_figures/roussos_2024.infant.GLU/rs2319380_profile_position.png",4,220,900)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0.3135305979999999</v>
      </c>
      <c r="G1155" t="n">
        <v>0.0027298314218536</v>
      </c>
      <c r="H1155" t="n">
        <v>0.0653145432204458</v>
      </c>
      <c r="I1155" t="n">
        <v>0.0020318799321777</v>
      </c>
      <c r="J1155" t="n">
        <v>0.3991964108556185</v>
      </c>
      <c r="K1155" t="n">
        <v>0.0452140584300536</v>
      </c>
      <c r="L1155" t="b">
        <v>1</v>
      </c>
      <c r="M1155" t="b">
        <v>1</v>
      </c>
      <c r="N1155" t="inlineStr">
        <is>
          <t>alt</t>
        </is>
      </c>
      <c r="O1155" t="n">
        <v>-40</v>
      </c>
      <c r="P1155" t="n">
        <v>0.01062</v>
      </c>
      <c r="Q1155" t="n">
        <v>20</v>
      </c>
      <c r="R1155" t="n">
        <v>0.0703</v>
      </c>
      <c r="S1155">
        <f>IMAGE("https://mitra.stanford.edu/kundaje/oak/projects/neuro-variants/variant_position/credible/roussos_2024/variant_figures/roussos_2024.infant.GLU/rs10146921_count_position.png",4,220,900)</f>
        <v/>
      </c>
      <c r="T1155">
        <f>IMAGE("https://mitra.stanford.edu/kundaje/oak/projects/neuro-variants/variant_position/credible/roussos_2024/variant_figures/roussos_2024.infant.GLU/rs10146921_profile_position.png",4,220,900)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-0.06587542959999999</v>
      </c>
      <c r="G1156" t="n">
        <v>0.1204671348243037</v>
      </c>
      <c r="H1156" t="n">
        <v>0.0131628596056734</v>
      </c>
      <c r="I1156" t="n">
        <v>0.4740424527857739</v>
      </c>
      <c r="J1156" t="n">
        <v>0.7133391388699046</v>
      </c>
      <c r="K1156" t="n">
        <v>0.0128667469985183</v>
      </c>
      <c r="L1156" t="b">
        <v>0</v>
      </c>
      <c r="M1156" t="b">
        <v>0</v>
      </c>
      <c r="N1156" t="inlineStr">
        <is>
          <t>ref</t>
        </is>
      </c>
      <c r="O1156" t="n">
        <v>-90</v>
      </c>
      <c r="P1156" t="n">
        <v>0.05365</v>
      </c>
      <c r="Q1156" t="n">
        <v>15</v>
      </c>
      <c r="R1156" t="n">
        <v>0.0227</v>
      </c>
      <c r="S1156">
        <f>IMAGE("https://mitra.stanford.edu/kundaje/oak/projects/neuro-variants/variant_position/credible/roussos_2024/variant_figures/roussos_2024.infant.GLU/rs12587456_count_position.png",4,220,900)</f>
        <v/>
      </c>
      <c r="T1156">
        <f>IMAGE("https://mitra.stanford.edu/kundaje/oak/projects/neuro-variants/variant_position/credible/roussos_2024/variant_figures/roussos_2024.infant.GLU/rs12587456_profile_position.png",4,220,900)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-0.0277185242</v>
      </c>
      <c r="G1157" t="n">
        <v>0.347502028313418</v>
      </c>
      <c r="H1157" t="n">
        <v>0.0074801989310176</v>
      </c>
      <c r="I1157" t="n">
        <v>0.9191537398735592</v>
      </c>
      <c r="J1157" t="n">
        <v>0.0174177120306884</v>
      </c>
      <c r="K1157" t="n">
        <v>0.5719722947202305</v>
      </c>
      <c r="L1157" t="b">
        <v>0</v>
      </c>
      <c r="M1157" t="b">
        <v>0</v>
      </c>
      <c r="N1157" t="inlineStr">
        <is>
          <t>ref</t>
        </is>
      </c>
      <c r="O1157" t="n">
        <v>-65</v>
      </c>
      <c r="P1157" t="n">
        <v>0.01727</v>
      </c>
      <c r="Q1157" t="n">
        <v>100</v>
      </c>
      <c r="R1157" t="n">
        <v>0.04916</v>
      </c>
      <c r="S1157">
        <f>IMAGE("https://mitra.stanford.edu/kundaje/oak/projects/neuro-variants/variant_position/credible/roussos_2024/variant_figures/roussos_2024.infant.GLU/rs60652177_count_position.png",4,220,900)</f>
        <v/>
      </c>
      <c r="T1157">
        <f>IMAGE("https://mitra.stanford.edu/kundaje/oak/projects/neuro-variants/variant_position/credible/roussos_2024/variant_figures/roussos_2024.infant.GLU/rs60652177_profile_position.png",4,220,900)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0.03656060776</v>
      </c>
      <c r="G1158" t="n">
        <v>0.2815711773814148</v>
      </c>
      <c r="H1158" t="n">
        <v>0.0095500814927806</v>
      </c>
      <c r="I1158" t="n">
        <v>0.779761219031582</v>
      </c>
      <c r="J1158" t="n">
        <v>0.2663594876430256</v>
      </c>
      <c r="K1158" t="n">
        <v>0.07891636335186419</v>
      </c>
      <c r="L1158" t="b">
        <v>0</v>
      </c>
      <c r="M1158" t="b">
        <v>0</v>
      </c>
      <c r="N1158" t="inlineStr">
        <is>
          <t>alt</t>
        </is>
      </c>
      <c r="O1158" t="n">
        <v>100</v>
      </c>
      <c r="P1158" t="n">
        <v>0.02217</v>
      </c>
      <c r="Q1158" t="n">
        <v>-100</v>
      </c>
      <c r="R1158" t="n">
        <v>0.1267</v>
      </c>
      <c r="S1158">
        <f>IMAGE("https://mitra.stanford.edu/kundaje/oak/projects/neuro-variants/variant_position/credible/roussos_2024/variant_figures/roussos_2024.infant.GLU/rs10148671_count_position.png",4,220,900)</f>
        <v/>
      </c>
      <c r="T1158">
        <f>IMAGE("https://mitra.stanford.edu/kundaje/oak/projects/neuro-variants/variant_position/credible/roussos_2024/variant_figures/roussos_2024.infant.GLU/rs10148671_profile_position.png",4,220,900)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-0.03032565948</v>
      </c>
      <c r="G1159" t="n">
        <v>0.3543830891428212</v>
      </c>
      <c r="H1159" t="n">
        <v>0.0103674780579328</v>
      </c>
      <c r="I1159" t="n">
        <v>0.6822767981230496</v>
      </c>
      <c r="J1159" t="n">
        <v>0.0096011816838995</v>
      </c>
      <c r="K1159" t="n">
        <v>0.6656822366122036</v>
      </c>
      <c r="L1159" t="b">
        <v>0</v>
      </c>
      <c r="M1159" t="b">
        <v>0</v>
      </c>
      <c r="N1159" t="inlineStr">
        <is>
          <t>ref</t>
        </is>
      </c>
      <c r="O1159" t="n">
        <v>-95</v>
      </c>
      <c r="P1159" t="n">
        <v>0.02386</v>
      </c>
      <c r="Q1159" t="n">
        <v>25</v>
      </c>
      <c r="R1159" t="n">
        <v>0.05322</v>
      </c>
      <c r="S1159">
        <f>IMAGE("https://mitra.stanford.edu/kundaje/oak/projects/neuro-variants/variant_position/credible/roussos_2024/variant_figures/roussos_2024.infant.GLU/rs1886456_count_position.png",4,220,900)</f>
        <v/>
      </c>
      <c r="T1159">
        <f>IMAGE("https://mitra.stanford.edu/kundaje/oak/projects/neuro-variants/variant_position/credible/roussos_2024/variant_figures/roussos_2024.infant.GLU/rs1886456_profile_position.png",4,220,900)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0.041810685</v>
      </c>
      <c r="G1160" t="n">
        <v>0.2076307633540421</v>
      </c>
      <c r="H1160" t="n">
        <v>0.0082095723801455</v>
      </c>
      <c r="I1160" t="n">
        <v>0.8877860881732418</v>
      </c>
      <c r="J1160" t="n">
        <v>0.0064948521792807</v>
      </c>
      <c r="K1160" t="n">
        <v>0.7220233797833197</v>
      </c>
      <c r="L1160" t="b">
        <v>0</v>
      </c>
      <c r="M1160" t="b">
        <v>0</v>
      </c>
      <c r="N1160" t="inlineStr">
        <is>
          <t>alt</t>
        </is>
      </c>
      <c r="O1160" t="n">
        <v>-90</v>
      </c>
      <c r="P1160" t="n">
        <v>0.03528</v>
      </c>
      <c r="Q1160" t="n">
        <v>95</v>
      </c>
      <c r="R1160" t="n">
        <v>0.1292</v>
      </c>
      <c r="S1160">
        <f>IMAGE("https://mitra.stanford.edu/kundaje/oak/projects/neuro-variants/variant_position/credible/roussos_2024/variant_figures/roussos_2024.infant.GLU/rs12882564_count_position.png",4,220,900)</f>
        <v/>
      </c>
      <c r="T1160">
        <f>IMAGE("https://mitra.stanford.edu/kundaje/oak/projects/neuro-variants/variant_position/credible/roussos_2024/variant_figures/roussos_2024.infant.GLU/rs12882564_profile_position.png",4,220,900)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-0.04015614492</v>
      </c>
      <c r="G1161" t="n">
        <v>0.2716515195357635</v>
      </c>
      <c r="H1161" t="n">
        <v>0.0211094270316559</v>
      </c>
      <c r="I1161" t="n">
        <v>0.1653405955328588</v>
      </c>
      <c r="J1161" t="n">
        <v>0.0005952512180602</v>
      </c>
      <c r="K1161" t="n">
        <v>0.9271772195478279</v>
      </c>
      <c r="L1161" t="b">
        <v>0</v>
      </c>
      <c r="M1161" t="b">
        <v>0</v>
      </c>
      <c r="N1161" t="inlineStr">
        <is>
          <t>ref</t>
        </is>
      </c>
      <c r="O1161" t="n">
        <v>10</v>
      </c>
      <c r="P1161" t="n">
        <v>0.001968</v>
      </c>
      <c r="Q1161" t="n">
        <v>100</v>
      </c>
      <c r="R1161" t="n">
        <v>0.01451</v>
      </c>
      <c r="S1161">
        <f>IMAGE("https://mitra.stanford.edu/kundaje/oak/projects/neuro-variants/variant_position/credible/roussos_2024/variant_figures/roussos_2024.infant.GLU/rs1956235_count_position.png",4,220,900)</f>
        <v/>
      </c>
      <c r="T1161">
        <f>IMAGE("https://mitra.stanford.edu/kundaje/oak/projects/neuro-variants/variant_position/credible/roussos_2024/variant_figures/roussos_2024.infant.GLU/rs1956235_profile_position.png",4,220,900)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-0.0305176538</v>
      </c>
      <c r="G1162" t="n">
        <v>0.3158485127862891</v>
      </c>
      <c r="H1162" t="n">
        <v>0.0429167017789927</v>
      </c>
      <c r="I1162" t="n">
        <v>0.0149865784848105</v>
      </c>
      <c r="J1162" t="n">
        <v>0.0382393791750258</v>
      </c>
      <c r="K1162" t="n">
        <v>0.4033988227045222</v>
      </c>
      <c r="L1162" t="b">
        <v>1</v>
      </c>
      <c r="M1162" t="b">
        <v>0</v>
      </c>
      <c r="N1162" t="inlineStr">
        <is>
          <t>ref</t>
        </is>
      </c>
      <c r="O1162" t="n">
        <v>45</v>
      </c>
      <c r="P1162" t="n">
        <v>0.01013</v>
      </c>
      <c r="Q1162" t="n">
        <v>-90</v>
      </c>
      <c r="R1162" t="n">
        <v>0.1659</v>
      </c>
      <c r="S1162">
        <f>IMAGE("https://mitra.stanford.edu/kundaje/oak/projects/neuro-variants/variant_position/credible/roussos_2024/variant_figures/roussos_2024.infant.GLU/rs4636809_count_position.png",4,220,900)</f>
        <v/>
      </c>
      <c r="T1162">
        <f>IMAGE("https://mitra.stanford.edu/kundaje/oak/projects/neuro-variants/variant_position/credible/roussos_2024/variant_figures/roussos_2024.infant.GLU/rs4636809_profile_position.png",4,220,900)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0.0563489886</v>
      </c>
      <c r="G1163" t="n">
        <v>0.1431402522571011</v>
      </c>
      <c r="H1163" t="n">
        <v>0.0320033845859715</v>
      </c>
      <c r="I1163" t="n">
        <v>0.0464124407293915</v>
      </c>
      <c r="J1163" t="n">
        <v>0.0201525606825546</v>
      </c>
      <c r="K1163" t="n">
        <v>0.5360526999120238</v>
      </c>
      <c r="L1163" t="b">
        <v>0</v>
      </c>
      <c r="M1163" t="b">
        <v>0</v>
      </c>
      <c r="N1163" t="inlineStr">
        <is>
          <t>alt</t>
        </is>
      </c>
      <c r="O1163" t="n">
        <v>-60</v>
      </c>
      <c r="P1163" t="n">
        <v>0.002516</v>
      </c>
      <c r="Q1163" t="n">
        <v>65</v>
      </c>
      <c r="R1163" t="n">
        <v>0.05908</v>
      </c>
      <c r="S1163">
        <f>IMAGE("https://mitra.stanford.edu/kundaje/oak/projects/neuro-variants/variant_position/credible/roussos_2024/variant_figures/roussos_2024.infant.GLU/rs1191547_count_position.png",4,220,900)</f>
        <v/>
      </c>
      <c r="T1163">
        <f>IMAGE("https://mitra.stanford.edu/kundaje/oak/projects/neuro-variants/variant_position/credible/roussos_2024/variant_figures/roussos_2024.infant.GLU/rs1191547_profile_position.png",4,220,900)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0.45620408</v>
      </c>
      <c r="G1164" t="n">
        <v>0.0006685476559532</v>
      </c>
      <c r="H1164" t="n">
        <v>0.068086314862041</v>
      </c>
      <c r="I1164" t="n">
        <v>0.0016692307399357</v>
      </c>
      <c r="J1164" t="n">
        <v>0.464453581428162</v>
      </c>
      <c r="K1164" t="n">
        <v>0.0353547098239637</v>
      </c>
      <c r="L1164" t="b">
        <v>1</v>
      </c>
      <c r="M1164" t="b">
        <v>1</v>
      </c>
      <c r="N1164" t="inlineStr">
        <is>
          <t>alt</t>
        </is>
      </c>
      <c r="O1164" t="n">
        <v>50</v>
      </c>
      <c r="P1164" t="n">
        <v>0.00891</v>
      </c>
      <c r="Q1164" t="n">
        <v>-100</v>
      </c>
      <c r="R1164" t="n">
        <v>0.1543</v>
      </c>
      <c r="S1164">
        <f>IMAGE("https://mitra.stanford.edu/kundaje/oak/projects/neuro-variants/variant_position/credible/roussos_2024/variant_figures/roussos_2024.infant.GLU/rs3783301_count_position.png",4,220,900)</f>
        <v/>
      </c>
      <c r="T1164">
        <f>IMAGE("https://mitra.stanford.edu/kundaje/oak/projects/neuro-variants/variant_position/credible/roussos_2024/variant_figures/roussos_2024.infant.GLU/rs3783301_profile_position.png",4,220,900)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-0.0081487957399999</v>
      </c>
      <c r="G1165" t="n">
        <v>0.7202179976846128</v>
      </c>
      <c r="H1165" t="n">
        <v>0.0349568761890505</v>
      </c>
      <c r="I1165" t="n">
        <v>0.0344627323103207</v>
      </c>
      <c r="J1165" t="n">
        <v>0.09149562380123009</v>
      </c>
      <c r="K1165" t="n">
        <v>0.2243273412732084</v>
      </c>
      <c r="L1165" t="b">
        <v>0</v>
      </c>
      <c r="M1165" t="b">
        <v>0</v>
      </c>
      <c r="N1165" t="inlineStr">
        <is>
          <t>ref</t>
        </is>
      </c>
      <c r="O1165" t="n">
        <v>100</v>
      </c>
      <c r="P1165" t="n">
        <v>0.0296</v>
      </c>
      <c r="Q1165" t="n">
        <v>-45</v>
      </c>
      <c r="R1165" t="n">
        <v>0.1313</v>
      </c>
      <c r="S1165">
        <f>IMAGE("https://mitra.stanford.edu/kundaje/oak/projects/neuro-variants/variant_position/credible/roussos_2024/variant_figures/roussos_2024.infant.GLU/rs10149921_count_position.png",4,220,900)</f>
        <v/>
      </c>
      <c r="T1165">
        <f>IMAGE("https://mitra.stanford.edu/kundaje/oak/projects/neuro-variants/variant_position/credible/roussos_2024/variant_figures/roussos_2024.infant.GLU/rs10149921_profile_position.png",4,220,900)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0.029211992</v>
      </c>
      <c r="G1166" t="n">
        <v>0.3137377801117388</v>
      </c>
      <c r="H1166" t="n">
        <v>0.0412684114125533</v>
      </c>
      <c r="I1166" t="n">
        <v>0.0178306522719171</v>
      </c>
      <c r="J1166" t="n">
        <v>0.0562391146189289</v>
      </c>
      <c r="K1166" t="n">
        <v>0.3208860331949165</v>
      </c>
      <c r="L1166" t="b">
        <v>1</v>
      </c>
      <c r="M1166" t="b">
        <v>0</v>
      </c>
      <c r="N1166" t="inlineStr">
        <is>
          <t>alt</t>
        </is>
      </c>
      <c r="O1166" t="n">
        <v>90</v>
      </c>
      <c r="P1166" t="n">
        <v>0.01236</v>
      </c>
      <c r="Q1166" t="n">
        <v>65</v>
      </c>
      <c r="R1166" t="n">
        <v>0.006104</v>
      </c>
      <c r="S1166">
        <f>IMAGE("https://mitra.stanford.edu/kundaje/oak/projects/neuro-variants/variant_position/credible/roussos_2024/variant_figures/roussos_2024.infant.GLU/rs7158984_count_position.png",4,220,900)</f>
        <v/>
      </c>
      <c r="T1166">
        <f>IMAGE("https://mitra.stanford.edu/kundaje/oak/projects/neuro-variants/variant_position/credible/roussos_2024/variant_figures/roussos_2024.infant.GLU/rs7158984_profile_position.png",4,220,900)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-0.093971015</v>
      </c>
      <c r="G1167" t="n">
        <v>0.0579468971705215</v>
      </c>
      <c r="H1167" t="n">
        <v>0.0197754172413389</v>
      </c>
      <c r="I1167" t="n">
        <v>0.1879608449080658</v>
      </c>
      <c r="J1167" t="n">
        <v>0.1567770453493242</v>
      </c>
      <c r="K1167" t="n">
        <v>0.1450953474611594</v>
      </c>
      <c r="L1167" t="b">
        <v>0</v>
      </c>
      <c r="M1167" t="b">
        <v>0</v>
      </c>
      <c r="N1167" t="inlineStr">
        <is>
          <t>ref</t>
        </is>
      </c>
      <c r="O1167" t="n">
        <v>80</v>
      </c>
      <c r="P1167" t="n">
        <v>0.0803</v>
      </c>
      <c r="Q1167" t="n">
        <v>-50</v>
      </c>
      <c r="R1167" t="n">
        <v>0.0906</v>
      </c>
      <c r="S1167">
        <f>IMAGE("https://mitra.stanford.edu/kundaje/oak/projects/neuro-variants/variant_position/credible/roussos_2024/variant_figures/roussos_2024.infant.GLU/rs10150918_count_position.png",4,220,900)</f>
        <v/>
      </c>
      <c r="T1167">
        <f>IMAGE("https://mitra.stanford.edu/kundaje/oak/projects/neuro-variants/variant_position/credible/roussos_2024/variant_figures/roussos_2024.infant.GLU/rs10150918_profile_position.png",4,220,900)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0.061626394</v>
      </c>
      <c r="G1168" t="n">
        <v>0.1290093803369935</v>
      </c>
      <c r="H1168" t="n">
        <v>0.0183664314740617</v>
      </c>
      <c r="I1168" t="n">
        <v>0.2321621255589037</v>
      </c>
      <c r="J1168" t="n">
        <v>0.3434467250159835</v>
      </c>
      <c r="K1168" t="n">
        <v>0.0566131424674804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0.0368</v>
      </c>
      <c r="Q1168" t="n">
        <v>90</v>
      </c>
      <c r="R1168" t="n">
        <v>0.88</v>
      </c>
      <c r="S1168">
        <f>IMAGE("https://mitra.stanford.edu/kundaje/oak/projects/neuro-variants/variant_position/credible/roussos_2024/variant_figures/roussos_2024.infant.GLU/rs959388_count_position.png",4,220,900)</f>
        <v/>
      </c>
      <c r="T1168">
        <f>IMAGE("https://mitra.stanford.edu/kundaje/oak/projects/neuro-variants/variant_position/credible/roussos_2024/variant_figures/roussos_2024.infant.GLU/rs959388_profile_position.png",4,220,900)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-0.0694097541999999</v>
      </c>
      <c r="G1169" t="n">
        <v>0.1045241144784313</v>
      </c>
      <c r="H1169" t="n">
        <v>0.0493679154951445</v>
      </c>
      <c r="I1169" t="n">
        <v>0.008020552037399299</v>
      </c>
      <c r="J1169" t="n">
        <v>0.0569082210807116</v>
      </c>
      <c r="K1169" t="n">
        <v>0.3127219780255064</v>
      </c>
      <c r="L1169" t="b">
        <v>1</v>
      </c>
      <c r="M1169" t="b">
        <v>1</v>
      </c>
      <c r="N1169" t="inlineStr">
        <is>
          <t>ref</t>
        </is>
      </c>
      <c r="O1169" t="n">
        <v>50</v>
      </c>
      <c r="P1169" t="n">
        <v>0.005676</v>
      </c>
      <c r="Q1169" t="n">
        <v>-95</v>
      </c>
      <c r="R1169" t="n">
        <v>0.02295</v>
      </c>
      <c r="S1169">
        <f>IMAGE("https://mitra.stanford.edu/kundaje/oak/projects/neuro-variants/variant_position/credible/roussos_2024/variant_figures/roussos_2024.infant.GLU/rs7140901_count_position.png",4,220,900)</f>
        <v/>
      </c>
      <c r="T1169">
        <f>IMAGE("https://mitra.stanford.edu/kundaje/oak/projects/neuro-variants/variant_position/credible/roussos_2024/variant_figures/roussos_2024.infant.GLU/rs7140901_profile_position.png",4,220,900)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-0.01385060622</v>
      </c>
      <c r="G1170" t="n">
        <v>0.542483132004023</v>
      </c>
      <c r="H1170" t="n">
        <v>0.0524749002368437</v>
      </c>
      <c r="I1170" t="n">
        <v>0.0060277504154038</v>
      </c>
      <c r="J1170" t="n">
        <v>0.0006084790229061</v>
      </c>
      <c r="K1170" t="n">
        <v>0.9183178157280862</v>
      </c>
      <c r="L1170" t="b">
        <v>0</v>
      </c>
      <c r="M1170" t="b">
        <v>0</v>
      </c>
      <c r="N1170" t="inlineStr">
        <is>
          <t>ref</t>
        </is>
      </c>
      <c r="O1170" t="n">
        <v>-100</v>
      </c>
      <c r="P1170" t="n">
        <v>0.0282</v>
      </c>
      <c r="Q1170" t="n">
        <v>85</v>
      </c>
      <c r="R1170" t="n">
        <v>0.07324</v>
      </c>
      <c r="S1170">
        <f>IMAGE("https://mitra.stanford.edu/kundaje/oak/projects/neuro-variants/variant_position/credible/roussos_2024/variant_figures/roussos_2024.infant.GLU/rs17440692_count_position.png",4,220,900)</f>
        <v/>
      </c>
      <c r="T1170">
        <f>IMAGE("https://mitra.stanford.edu/kundaje/oak/projects/neuro-variants/variant_position/credible/roussos_2024/variant_figures/roussos_2024.infant.GLU/rs17440692_profile_position.png",4,220,900)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-0.0191379872</v>
      </c>
      <c r="G1171" t="n">
        <v>0.4571684668234226</v>
      </c>
      <c r="H1171" t="n">
        <v>0.0411196366932259</v>
      </c>
      <c r="I1171" t="n">
        <v>0.0180306797843923</v>
      </c>
      <c r="J1171" t="n">
        <v>0.0266176503009325</v>
      </c>
      <c r="K1171" t="n">
        <v>0.4780521260882102</v>
      </c>
      <c r="L1171" t="b">
        <v>1</v>
      </c>
      <c r="M1171" t="b">
        <v>0</v>
      </c>
      <c r="N1171" t="inlineStr">
        <is>
          <t>ref</t>
        </is>
      </c>
      <c r="O1171" t="n">
        <v>-55</v>
      </c>
      <c r="P1171" t="n">
        <v>0.00354</v>
      </c>
      <c r="Q1171" t="n">
        <v>-60</v>
      </c>
      <c r="R1171" t="n">
        <v>0.1357</v>
      </c>
      <c r="S1171">
        <f>IMAGE("https://mitra.stanford.edu/kundaje/oak/projects/neuro-variants/variant_position/credible/roussos_2024/variant_figures/roussos_2024.infant.GLU/rs73266980_count_position.png",4,220,900)</f>
        <v/>
      </c>
      <c r="T1171">
        <f>IMAGE("https://mitra.stanford.edu/kundaje/oak/projects/neuro-variants/variant_position/credible/roussos_2024/variant_figures/roussos_2024.infant.GLU/rs73266980_profile_position.png",4,220,900)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-0.0339476973999999</v>
      </c>
      <c r="G1172" t="n">
        <v>0.2859663772158433</v>
      </c>
      <c r="H1172" t="n">
        <v>0.0499466661865972</v>
      </c>
      <c r="I1172" t="n">
        <v>0.0076837400557084</v>
      </c>
      <c r="J1172" t="n">
        <v>0.0270122798121651</v>
      </c>
      <c r="K1172" t="n">
        <v>0.4794347069340777</v>
      </c>
      <c r="L1172" t="b">
        <v>1</v>
      </c>
      <c r="M1172" t="b">
        <v>0</v>
      </c>
      <c r="N1172" t="inlineStr">
        <is>
          <t>ref</t>
        </is>
      </c>
      <c r="O1172" t="n">
        <v>-20</v>
      </c>
      <c r="P1172" t="n">
        <v>0.02246</v>
      </c>
      <c r="Q1172" t="n">
        <v>-15</v>
      </c>
      <c r="R1172" t="n">
        <v>0.02637</v>
      </c>
      <c r="S1172">
        <f>IMAGE("https://mitra.stanford.edu/kundaje/oak/projects/neuro-variants/variant_position/credible/roussos_2024/variant_figures/roussos_2024.infant.GLU/rs12882859_count_position.png",4,220,900)</f>
        <v/>
      </c>
      <c r="T1172">
        <f>IMAGE("https://mitra.stanford.edu/kundaje/oak/projects/neuro-variants/variant_position/credible/roussos_2024/variant_figures/roussos_2024.infant.GLU/rs12882859_profile_position.png",4,220,900)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0.04515139982</v>
      </c>
      <c r="G1173" t="n">
        <v>0.2147930773604594</v>
      </c>
      <c r="H1173" t="n">
        <v>0.0120332576106861</v>
      </c>
      <c r="I1173" t="n">
        <v>0.5285047093518155</v>
      </c>
      <c r="J1173" t="n">
        <v>0.0378414427125818</v>
      </c>
      <c r="K1173" t="n">
        <v>0.3987831687173223</v>
      </c>
      <c r="L1173" t="b">
        <v>0</v>
      </c>
      <c r="M1173" t="b">
        <v>0</v>
      </c>
      <c r="N1173" t="inlineStr">
        <is>
          <t>alt</t>
        </is>
      </c>
      <c r="O1173" t="n">
        <v>-50</v>
      </c>
      <c r="P1173" t="n">
        <v>0.01328</v>
      </c>
      <c r="Q1173" t="n">
        <v>85</v>
      </c>
      <c r="R1173" t="n">
        <v>0.178</v>
      </c>
      <c r="S1173">
        <f>IMAGE("https://mitra.stanford.edu/kundaje/oak/projects/neuro-variants/variant_position/credible/roussos_2024/variant_figures/roussos_2024.infant.GLU/rs12894833_count_position.png",4,220,900)</f>
        <v/>
      </c>
      <c r="T1173">
        <f>IMAGE("https://mitra.stanford.edu/kundaje/oak/projects/neuro-variants/variant_position/credible/roussos_2024/variant_figures/roussos_2024.infant.GLU/rs12894833_profile_position.png",4,220,900)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0.00663991716</v>
      </c>
      <c r="G1174" t="n">
        <v>0.7062584537484482</v>
      </c>
      <c r="H1174" t="n">
        <v>0.0139528038311558</v>
      </c>
      <c r="I1174" t="n">
        <v>0.4187273621244233</v>
      </c>
      <c r="J1174" t="n">
        <v>0.0205538040962101</v>
      </c>
      <c r="K1174" t="n">
        <v>0.5309657564514068</v>
      </c>
      <c r="L1174" t="b">
        <v>0</v>
      </c>
      <c r="M1174" t="b">
        <v>0</v>
      </c>
      <c r="N1174" t="inlineStr">
        <is>
          <t>alt</t>
        </is>
      </c>
      <c r="O1174" t="n">
        <v>-90</v>
      </c>
      <c r="P1174" t="n">
        <v>0.01146</v>
      </c>
      <c r="Q1174" t="n">
        <v>-90</v>
      </c>
      <c r="R1174" t="n">
        <v>0.1567</v>
      </c>
      <c r="S1174">
        <f>IMAGE("https://mitra.stanford.edu/kundaje/oak/projects/neuro-variants/variant_position/credible/roussos_2024/variant_figures/roussos_2024.infant.GLU/rs12896446_count_position.png",4,220,900)</f>
        <v/>
      </c>
      <c r="T1174">
        <f>IMAGE("https://mitra.stanford.edu/kundaje/oak/projects/neuro-variants/variant_position/credible/roussos_2024/variant_figures/roussos_2024.infant.GLU/rs12896446_profile_position.png",4,220,900)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-0.0242411914</v>
      </c>
      <c r="G1175" t="n">
        <v>0.390565113083686</v>
      </c>
      <c r="H1175" t="n">
        <v>0.0347802199993394</v>
      </c>
      <c r="I1175" t="n">
        <v>0.0344759573807612</v>
      </c>
      <c r="J1175" t="n">
        <v>0.113521021186534</v>
      </c>
      <c r="K1175" t="n">
        <v>0.1842544219754215</v>
      </c>
      <c r="L1175" t="b">
        <v>0</v>
      </c>
      <c r="M1175" t="b">
        <v>0</v>
      </c>
      <c r="N1175" t="inlineStr">
        <is>
          <t>ref</t>
        </is>
      </c>
      <c r="O1175" t="n">
        <v>35</v>
      </c>
      <c r="P1175" t="n">
        <v>0.01075</v>
      </c>
      <c r="Q1175" t="n">
        <v>-100</v>
      </c>
      <c r="R1175" t="n">
        <v>0.0232</v>
      </c>
      <c r="S1175">
        <f>IMAGE("https://mitra.stanford.edu/kundaje/oak/projects/neuro-variants/variant_position/credible/roussos_2024/variant_figures/roussos_2024.infant.GLU/rs7140259_count_position.png",4,220,900)</f>
        <v/>
      </c>
      <c r="T1175">
        <f>IMAGE("https://mitra.stanford.edu/kundaje/oak/projects/neuro-variants/variant_position/credible/roussos_2024/variant_figures/roussos_2024.infant.GLU/rs7140259_profile_position.png",4,220,900)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-0.00367037734</v>
      </c>
      <c r="G1176" t="n">
        <v>0.5507022270839883</v>
      </c>
      <c r="H1176" t="n">
        <v>0.0362266731216473</v>
      </c>
      <c r="I1176" t="n">
        <v>0.0298260072318005</v>
      </c>
      <c r="J1176" t="n">
        <v>0.2348255032077427</v>
      </c>
      <c r="K1176" t="n">
        <v>0.09074310851246931</v>
      </c>
      <c r="L1176" t="b">
        <v>0</v>
      </c>
      <c r="M1176" t="b">
        <v>0</v>
      </c>
      <c r="N1176" t="inlineStr">
        <is>
          <t>ref</t>
        </is>
      </c>
      <c r="O1176" t="n">
        <v>40</v>
      </c>
      <c r="P1176" t="n">
        <v>0.1174</v>
      </c>
      <c r="Q1176" t="n">
        <v>65</v>
      </c>
      <c r="R1176" t="n">
        <v>0.04248</v>
      </c>
      <c r="S1176">
        <f>IMAGE("https://mitra.stanford.edu/kundaje/oak/projects/neuro-variants/variant_position/credible/roussos_2024/variant_figures/roussos_2024.infant.GLU/rs7161135_count_position.png",4,220,900)</f>
        <v/>
      </c>
      <c r="T1176">
        <f>IMAGE("https://mitra.stanford.edu/kundaje/oak/projects/neuro-variants/variant_position/credible/roussos_2024/variant_figures/roussos_2024.infant.GLU/rs7161135_profile_position.png",4,220,900)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-0.1702301789999999</v>
      </c>
      <c r="G1177" t="n">
        <v>0.0159192373735396</v>
      </c>
      <c r="H1177" t="n">
        <v>0.0455420716294462</v>
      </c>
      <c r="I1177" t="n">
        <v>0.0116306090183697</v>
      </c>
      <c r="J1177" t="n">
        <v>0.0137954981370841</v>
      </c>
      <c r="K1177" t="n">
        <v>0.6047915885836159</v>
      </c>
      <c r="L1177" t="b">
        <v>1</v>
      </c>
      <c r="M1177" t="b">
        <v>0</v>
      </c>
      <c r="N1177" t="inlineStr">
        <is>
          <t>ref</t>
        </is>
      </c>
      <c r="O1177" t="n">
        <v>80</v>
      </c>
      <c r="P1177" t="n">
        <v>0.01296</v>
      </c>
      <c r="Q1177" t="n">
        <v>80</v>
      </c>
      <c r="R1177" t="n">
        <v>0.08545</v>
      </c>
      <c r="S1177">
        <f>IMAGE("https://mitra.stanford.edu/kundaje/oak/projects/neuro-variants/variant_position/credible/roussos_2024/variant_figures/roussos_2024.infant.GLU/rs12434588_count_position.png",4,220,900)</f>
        <v/>
      </c>
      <c r="T1177">
        <f>IMAGE("https://mitra.stanford.edu/kundaje/oak/projects/neuro-variants/variant_position/credible/roussos_2024/variant_figures/roussos_2024.infant.GLU/rs12434588_profile_position.png",4,220,900)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0.184265933</v>
      </c>
      <c r="G1178" t="n">
        <v>0.0136651624897938</v>
      </c>
      <c r="H1178" t="n">
        <v>0.0250702116253464</v>
      </c>
      <c r="I1178" t="n">
        <v>0.1021397474773423</v>
      </c>
      <c r="J1178" t="n">
        <v>0.1896007407570713</v>
      </c>
      <c r="K1178" t="n">
        <v>0.1171447281436021</v>
      </c>
      <c r="L1178" t="b">
        <v>1</v>
      </c>
      <c r="M1178" t="b">
        <v>0</v>
      </c>
      <c r="N1178" t="inlineStr">
        <is>
          <t>alt</t>
        </is>
      </c>
      <c r="O1178" t="n">
        <v>-85</v>
      </c>
      <c r="P1178" t="n">
        <v>0.009900000000000001</v>
      </c>
      <c r="Q1178" t="n">
        <v>-70</v>
      </c>
      <c r="R1178" t="n">
        <v>0.08105</v>
      </c>
      <c r="S1178">
        <f>IMAGE("https://mitra.stanford.edu/kundaje/oak/projects/neuro-variants/variant_position/credible/roussos_2024/variant_figures/roussos_2024.infant.GLU/rs12887688_count_position.png",4,220,900)</f>
        <v/>
      </c>
      <c r="T1178">
        <f>IMAGE("https://mitra.stanford.edu/kundaje/oak/projects/neuro-variants/variant_position/credible/roussos_2024/variant_figures/roussos_2024.infant.GLU/rs12887688_profile_position.png",4,220,900)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-0.0435106662</v>
      </c>
      <c r="G1179" t="n">
        <v>0.2103337376118167</v>
      </c>
      <c r="H1179" t="n">
        <v>0.0146644113489765</v>
      </c>
      <c r="I1179" t="n">
        <v>0.3816325078336861</v>
      </c>
      <c r="J1179" t="n">
        <v>0.0758835071319913</v>
      </c>
      <c r="K1179" t="n">
        <v>0.2728489873029058</v>
      </c>
      <c r="L1179" t="b">
        <v>0</v>
      </c>
      <c r="M1179" t="b">
        <v>0</v>
      </c>
      <c r="N1179" t="inlineStr">
        <is>
          <t>ref</t>
        </is>
      </c>
      <c r="O1179" t="n">
        <v>85</v>
      </c>
      <c r="P1179" t="n">
        <v>0.01469</v>
      </c>
      <c r="Q1179" t="n">
        <v>-60</v>
      </c>
      <c r="R1179" t="n">
        <v>0.04642</v>
      </c>
      <c r="S1179">
        <f>IMAGE("https://mitra.stanford.edu/kundaje/oak/projects/neuro-variants/variant_position/credible/roussos_2024/variant_figures/roussos_2024.infant.GLU/rs10133628_count_position.png",4,220,900)</f>
        <v/>
      </c>
      <c r="T1179">
        <f>IMAGE("https://mitra.stanford.edu/kundaje/oak/projects/neuro-variants/variant_position/credible/roussos_2024/variant_figures/roussos_2024.infant.GLU/rs10133628_profile_position.png",4,220,900)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-0.005385496</v>
      </c>
      <c r="G1180" t="n">
        <v>0.7797391007886986</v>
      </c>
      <c r="H1180" t="n">
        <v>0.0274513094494778</v>
      </c>
      <c r="I1180" t="n">
        <v>0.0764895769763294</v>
      </c>
      <c r="J1180" t="n">
        <v>0.0663187019114177</v>
      </c>
      <c r="K1180" t="n">
        <v>0.32489365884956</v>
      </c>
      <c r="L1180" t="b">
        <v>0</v>
      </c>
      <c r="M1180" t="b">
        <v>0</v>
      </c>
      <c r="N1180" t="inlineStr">
        <is>
          <t>ref</t>
        </is>
      </c>
      <c r="O1180" t="n">
        <v>-100</v>
      </c>
      <c r="P1180" t="n">
        <v>0.1423</v>
      </c>
      <c r="Q1180" t="n">
        <v>-100</v>
      </c>
      <c r="R1180" t="n">
        <v>0.06419999999999999</v>
      </c>
      <c r="S1180">
        <f>IMAGE("https://mitra.stanford.edu/kundaje/oak/projects/neuro-variants/variant_position/credible/roussos_2024/variant_figures/roussos_2024.infant.GLU/rs72474105_count_position.png",4,220,900)</f>
        <v/>
      </c>
      <c r="T1180">
        <f>IMAGE("https://mitra.stanford.edu/kundaje/oak/projects/neuro-variants/variant_position/credible/roussos_2024/variant_figures/roussos_2024.infant.GLU/rs72474105_profile_position.png",4,220,900)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-0.15672454</v>
      </c>
      <c r="G1181" t="n">
        <v>0.018487744459379</v>
      </c>
      <c r="H1181" t="n">
        <v>0.0293334088026346</v>
      </c>
      <c r="I1181" t="n">
        <v>0.0619903917197324</v>
      </c>
      <c r="J1181" t="n">
        <v>0.2669558411781564</v>
      </c>
      <c r="K1181" t="n">
        <v>0.0815056190350374</v>
      </c>
      <c r="L1181" t="b">
        <v>1</v>
      </c>
      <c r="M1181" t="b">
        <v>0</v>
      </c>
      <c r="N1181" t="inlineStr">
        <is>
          <t>ref</t>
        </is>
      </c>
      <c r="O1181" t="n">
        <v>-50</v>
      </c>
      <c r="P1181" t="n">
        <v>0.007202</v>
      </c>
      <c r="Q1181" t="n">
        <v>-50</v>
      </c>
      <c r="R1181" t="n">
        <v>0.1836</v>
      </c>
      <c r="S1181">
        <f>IMAGE("https://mitra.stanford.edu/kundaje/oak/projects/neuro-variants/variant_position/credible/roussos_2024/variant_figures/roussos_2024.infant.GLU/rs61985092_count_position.png",4,220,900)</f>
        <v/>
      </c>
      <c r="T1181">
        <f>IMAGE("https://mitra.stanford.edu/kundaje/oak/projects/neuro-variants/variant_position/credible/roussos_2024/variant_figures/roussos_2024.infant.GLU/rs61985092_profile_position.png",4,220,900)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0.0414632896</v>
      </c>
      <c r="G1182" t="n">
        <v>0.2170507280928078</v>
      </c>
      <c r="H1182" t="n">
        <v>0.0104034415221251</v>
      </c>
      <c r="I1182" t="n">
        <v>0.6932126447835305</v>
      </c>
      <c r="J1182" t="n">
        <v>0.1726647412861835</v>
      </c>
      <c r="K1182" t="n">
        <v>0.1309820153838069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0.0968</v>
      </c>
      <c r="Q1182" t="n">
        <v>-85</v>
      </c>
      <c r="R1182" t="n">
        <v>0.1687</v>
      </c>
      <c r="S1182">
        <f>IMAGE("https://mitra.stanford.edu/kundaje/oak/projects/neuro-variants/variant_position/credible/roussos_2024/variant_figures/roussos_2024.infant.GLU/rs75682793_count_position.png",4,220,900)</f>
        <v/>
      </c>
      <c r="T1182">
        <f>IMAGE("https://mitra.stanford.edu/kundaje/oak/projects/neuro-variants/variant_position/credible/roussos_2024/variant_figures/roussos_2024.infant.GLU/rs75682793_profile_position.png",4,220,900)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0.01478987236</v>
      </c>
      <c r="G1183" t="n">
        <v>0.5501615939048967</v>
      </c>
      <c r="H1183" t="n">
        <v>0.0070737082640618</v>
      </c>
      <c r="I1183" t="n">
        <v>0.9244795681253528</v>
      </c>
      <c r="J1183" t="n">
        <v>0.0775546198108423</v>
      </c>
      <c r="K1183" t="n">
        <v>0.250513723395687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0.1309</v>
      </c>
      <c r="Q1183" t="n">
        <v>65</v>
      </c>
      <c r="R1183" t="n">
        <v>0.06165</v>
      </c>
      <c r="S1183">
        <f>IMAGE("https://mitra.stanford.edu/kundaje/oak/projects/neuro-variants/variant_position/credible/roussos_2024/variant_figures/roussos_2024.infant.GLU/rs112261101_count_position.png",4,220,900)</f>
        <v/>
      </c>
      <c r="T1183">
        <f>IMAGE("https://mitra.stanford.edu/kundaje/oak/projects/neuro-variants/variant_position/credible/roussos_2024/variant_figures/roussos_2024.infant.GLU/rs112261101_profile_position.png",4,220,900)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-0.1439728862</v>
      </c>
      <c r="G1184" t="n">
        <v>0.027563494015226</v>
      </c>
      <c r="H1184" t="n">
        <v>0.0190798868191857</v>
      </c>
      <c r="I1184" t="n">
        <v>0.2204553490699373</v>
      </c>
      <c r="J1184" t="n">
        <v>0.2178255693467668</v>
      </c>
      <c r="K1184" t="n">
        <v>0.09976555577368761</v>
      </c>
      <c r="L1184" t="b">
        <v>0</v>
      </c>
      <c r="M1184" t="b">
        <v>0</v>
      </c>
      <c r="N1184" t="inlineStr">
        <is>
          <t>ref</t>
        </is>
      </c>
      <c r="O1184" t="n">
        <v>-45</v>
      </c>
      <c r="P1184" t="n">
        <v>0.02371</v>
      </c>
      <c r="Q1184" t="n">
        <v>45</v>
      </c>
      <c r="R1184" t="n">
        <v>0.0465</v>
      </c>
      <c r="S1184">
        <f>IMAGE("https://mitra.stanford.edu/kundaje/oak/projects/neuro-variants/variant_position/credible/roussos_2024/variant_figures/roussos_2024.infant.GLU/rs113869004_count_position.png",4,220,900)</f>
        <v/>
      </c>
      <c r="T1184">
        <f>IMAGE("https://mitra.stanford.edu/kundaje/oak/projects/neuro-variants/variant_position/credible/roussos_2024/variant_figures/roussos_2024.infant.GLU/rs113869004_profile_position.png",4,220,900)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0.0038163313999999</v>
      </c>
      <c r="G1185" t="n">
        <v>0.3874563777304105</v>
      </c>
      <c r="H1185" t="n">
        <v>0.0104212079569676</v>
      </c>
      <c r="I1185" t="n">
        <v>0.681565423770457</v>
      </c>
      <c r="J1185" t="n">
        <v>0.1532430168213585</v>
      </c>
      <c r="K1185" t="n">
        <v>0.1415496645822992</v>
      </c>
      <c r="L1185" t="b">
        <v>0</v>
      </c>
      <c r="M1185" t="b">
        <v>0</v>
      </c>
      <c r="N1185" t="inlineStr">
        <is>
          <t>alt</t>
        </is>
      </c>
      <c r="O1185" t="n">
        <v>-60</v>
      </c>
      <c r="P1185" t="n">
        <v>0.003204</v>
      </c>
      <c r="Q1185" t="n">
        <v>-5</v>
      </c>
      <c r="R1185" t="n">
        <v>0.001953</v>
      </c>
      <c r="S1185">
        <f>IMAGE("https://mitra.stanford.edu/kundaje/oak/projects/neuro-variants/variant_position/credible/roussos_2024/variant_figures/roussos_2024.infant.GLU/rs111476301_count_position.png",4,220,900)</f>
        <v/>
      </c>
      <c r="T1185">
        <f>IMAGE("https://mitra.stanford.edu/kundaje/oak/projects/neuro-variants/variant_position/credible/roussos_2024/variant_figures/roussos_2024.infant.GLU/rs111476301_profile_position.png",4,220,900)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-0.0537497906</v>
      </c>
      <c r="G1186" t="n">
        <v>0.1590915084394238</v>
      </c>
      <c r="H1186" t="n">
        <v>0.0150449212452455</v>
      </c>
      <c r="I1186" t="n">
        <v>0.3594338797380326</v>
      </c>
      <c r="J1186" t="n">
        <v>0.0050651469388654</v>
      </c>
      <c r="K1186" t="n">
        <v>0.7679032400097843</v>
      </c>
      <c r="L1186" t="b">
        <v>0</v>
      </c>
      <c r="M1186" t="b">
        <v>0</v>
      </c>
      <c r="N1186" t="inlineStr">
        <is>
          <t>ref</t>
        </is>
      </c>
      <c r="O1186" t="n">
        <v>-100</v>
      </c>
      <c r="P1186" t="n">
        <v>0.02405</v>
      </c>
      <c r="Q1186" t="n">
        <v>-65</v>
      </c>
      <c r="R1186" t="n">
        <v>0.03876</v>
      </c>
      <c r="S1186">
        <f>IMAGE("https://mitra.stanford.edu/kundaje/oak/projects/neuro-variants/variant_position/credible/roussos_2024/variant_figures/roussos_2024.infant.GLU/rs1046701_count_position.png",4,220,900)</f>
        <v/>
      </c>
      <c r="T1186">
        <f>IMAGE("https://mitra.stanford.edu/kundaje/oak/projects/neuro-variants/variant_position/credible/roussos_2024/variant_figures/roussos_2024.infant.GLU/rs1046701_profile_position.png",4,220,900)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-0.0605925684</v>
      </c>
      <c r="G1187" t="n">
        <v>0.1205390572025886</v>
      </c>
      <c r="H1187" t="n">
        <v>0.0130680959758129</v>
      </c>
      <c r="I1187" t="n">
        <v>0.4717355042505132</v>
      </c>
      <c r="J1187" t="n">
        <v>0.1575475649815912</v>
      </c>
      <c r="K1187" t="n">
        <v>0.1468099885134375</v>
      </c>
      <c r="L1187" t="b">
        <v>0</v>
      </c>
      <c r="M1187" t="b">
        <v>0</v>
      </c>
      <c r="N1187" t="inlineStr">
        <is>
          <t>ref</t>
        </is>
      </c>
      <c r="O1187" t="n">
        <v>85</v>
      </c>
      <c r="P1187" t="n">
        <v>0.01262</v>
      </c>
      <c r="Q1187" t="n">
        <v>25</v>
      </c>
      <c r="R1187" t="n">
        <v>0.1094</v>
      </c>
      <c r="S1187">
        <f>IMAGE("https://mitra.stanford.edu/kundaje/oak/projects/neuro-variants/variant_position/credible/roussos_2024/variant_figures/roussos_2024.infant.GLU/rs1253099_count_position.png",4,220,900)</f>
        <v/>
      </c>
      <c r="T1187">
        <f>IMAGE("https://mitra.stanford.edu/kundaje/oak/projects/neuro-variants/variant_position/credible/roussos_2024/variant_figures/roussos_2024.infant.GLU/rs1253099_profile_position.png",4,220,900)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0.0272140927059999</v>
      </c>
      <c r="G1188" t="n">
        <v>0.3731671791578668</v>
      </c>
      <c r="H1188" t="n">
        <v>0.017648974194807</v>
      </c>
      <c r="I1188" t="n">
        <v>0.2556164898950381</v>
      </c>
      <c r="J1188" t="n">
        <v>0.007936682907471401</v>
      </c>
      <c r="K1188" t="n">
        <v>0.6928510068286492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0.004944</v>
      </c>
      <c r="Q1188" t="n">
        <v>-75</v>
      </c>
      <c r="R1188" t="n">
        <v>0.00944</v>
      </c>
      <c r="S1188">
        <f>IMAGE("https://mitra.stanford.edu/kundaje/oak/projects/neuro-variants/variant_position/credible/roussos_2024/variant_figures/roussos_2024.infant.GLU/rs1253102_count_position.png",4,220,900)</f>
        <v/>
      </c>
      <c r="T1188">
        <f>IMAGE("https://mitra.stanford.edu/kundaje/oak/projects/neuro-variants/variant_position/credible/roussos_2024/variant_figures/roussos_2024.infant.GLU/rs1253102_profile_position.png",4,220,900)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0.017549094858</v>
      </c>
      <c r="G1189" t="n">
        <v>0.5135200500428301</v>
      </c>
      <c r="H1189" t="n">
        <v>0.0151988957797069</v>
      </c>
      <c r="I1189" t="n">
        <v>0.3490592758576595</v>
      </c>
      <c r="J1189" t="n">
        <v>0.0138958089904979</v>
      </c>
      <c r="K1189" t="n">
        <v>0.6270018446107219</v>
      </c>
      <c r="L1189" t="b">
        <v>0</v>
      </c>
      <c r="M1189" t="b">
        <v>0</v>
      </c>
      <c r="N1189" t="inlineStr">
        <is>
          <t>alt</t>
        </is>
      </c>
      <c r="O1189" t="n">
        <v>90</v>
      </c>
      <c r="P1189" t="n">
        <v>0.003654</v>
      </c>
      <c r="Q1189" t="n">
        <v>90</v>
      </c>
      <c r="R1189" t="n">
        <v>0.01892</v>
      </c>
      <c r="S1189">
        <f>IMAGE("https://mitra.stanford.edu/kundaje/oak/projects/neuro-variants/variant_position/credible/roussos_2024/variant_figures/roussos_2024.infant.GLU/rs111758996_count_position.png",4,220,900)</f>
        <v/>
      </c>
      <c r="T1189">
        <f>IMAGE("https://mitra.stanford.edu/kundaje/oak/projects/neuro-variants/variant_position/credible/roussos_2024/variant_figures/roussos_2024.infant.GLU/rs111758996_profile_position.png",4,220,900)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0.01028549534</v>
      </c>
      <c r="G1190" t="n">
        <v>0.6157962785452618</v>
      </c>
      <c r="H1190" t="n">
        <v>0.035471240366496</v>
      </c>
      <c r="I1190" t="n">
        <v>0.0324599768884864</v>
      </c>
      <c r="J1190" t="n">
        <v>0.0148041182565752</v>
      </c>
      <c r="K1190" t="n">
        <v>0.5923850514716669</v>
      </c>
      <c r="L1190" t="b">
        <v>0</v>
      </c>
      <c r="M1190" t="b">
        <v>0</v>
      </c>
      <c r="N1190" t="inlineStr">
        <is>
          <t>alt</t>
        </is>
      </c>
      <c r="O1190" t="n">
        <v>-100</v>
      </c>
      <c r="P1190" t="n">
        <v>0.1294</v>
      </c>
      <c r="Q1190" t="n">
        <v>70</v>
      </c>
      <c r="R1190" t="n">
        <v>0.0403</v>
      </c>
      <c r="S1190">
        <f>IMAGE("https://mitra.stanford.edu/kundaje/oak/projects/neuro-variants/variant_position/credible/roussos_2024/variant_figures/roussos_2024.infant.GLU/rs2526886_count_position.png",4,220,900)</f>
        <v/>
      </c>
      <c r="T1190">
        <f>IMAGE("https://mitra.stanford.edu/kundaje/oak/projects/neuro-variants/variant_position/credible/roussos_2024/variant_figures/roussos_2024.infant.GLU/rs2526886_profile_position.png",4,220,900)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-0.00145642726</v>
      </c>
      <c r="G1191" t="n">
        <v>0.5440699399557823</v>
      </c>
      <c r="H1191" t="n">
        <v>0.0203915684146221</v>
      </c>
      <c r="I1191" t="n">
        <v>0.174155668731357</v>
      </c>
      <c r="J1191" t="n">
        <v>0.0614916554597764</v>
      </c>
      <c r="K1191" t="n">
        <v>0.3211735956512299</v>
      </c>
      <c r="L1191" t="b">
        <v>0</v>
      </c>
      <c r="M1191" t="b">
        <v>0</v>
      </c>
      <c r="N1191" t="inlineStr">
        <is>
          <t>ref</t>
        </is>
      </c>
      <c r="O1191" t="n">
        <v>-100</v>
      </c>
      <c r="P1191" t="n">
        <v>0.01259</v>
      </c>
      <c r="Q1191" t="n">
        <v>-100</v>
      </c>
      <c r="R1191" t="n">
        <v>0.2305</v>
      </c>
      <c r="S1191">
        <f>IMAGE("https://mitra.stanford.edu/kundaje/oak/projects/neuro-variants/variant_position/credible/roussos_2024/variant_figures/roussos_2024.infant.GLU/rs2810073_count_position.png",4,220,900)</f>
        <v/>
      </c>
      <c r="T1191">
        <f>IMAGE("https://mitra.stanford.edu/kundaje/oak/projects/neuro-variants/variant_position/credible/roussos_2024/variant_figures/roussos_2024.infant.GLU/rs2810073_profile_position.png",4,220,900)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0.012365559192</v>
      </c>
      <c r="G1192" t="n">
        <v>0.5788037136989514</v>
      </c>
      <c r="H1192" t="n">
        <v>0.0381905771688266</v>
      </c>
      <c r="I1192" t="n">
        <v>0.0244999219755024</v>
      </c>
      <c r="J1192" t="n">
        <v>0.066207367887299</v>
      </c>
      <c r="K1192" t="n">
        <v>0.2806786369270975</v>
      </c>
      <c r="L1192" t="b">
        <v>0</v>
      </c>
      <c r="M1192" t="b">
        <v>0</v>
      </c>
      <c r="N1192" t="inlineStr">
        <is>
          <t>alt</t>
        </is>
      </c>
      <c r="O1192" t="n">
        <v>-100</v>
      </c>
      <c r="P1192" t="n">
        <v>0.03992</v>
      </c>
      <c r="Q1192" t="n">
        <v>-100</v>
      </c>
      <c r="R1192" t="n">
        <v>0.2583</v>
      </c>
      <c r="S1192">
        <f>IMAGE("https://mitra.stanford.edu/kundaje/oak/projects/neuro-variants/variant_position/credible/roussos_2024/variant_figures/roussos_2024.infant.GLU/rs2189806_count_position.png",4,220,900)</f>
        <v/>
      </c>
      <c r="T1192">
        <f>IMAGE("https://mitra.stanford.edu/kundaje/oak/projects/neuro-variants/variant_position/credible/roussos_2024/variant_figures/roussos_2024.infant.GLU/rs2189806_profile_position.png",4,220,900)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0.1102874825999999</v>
      </c>
      <c r="G1193" t="n">
        <v>0.0517709569135144</v>
      </c>
      <c r="H1193" t="n">
        <v>0.0152568526377778</v>
      </c>
      <c r="I1193" t="n">
        <v>0.3501110639199512</v>
      </c>
      <c r="J1193" t="n">
        <v>0.0136577085032738</v>
      </c>
      <c r="K1193" t="n">
        <v>0.6188148627872253</v>
      </c>
      <c r="L1193" t="b">
        <v>0</v>
      </c>
      <c r="M1193" t="b">
        <v>0</v>
      </c>
      <c r="N1193" t="inlineStr">
        <is>
          <t>alt</t>
        </is>
      </c>
      <c r="O1193" t="n">
        <v>65</v>
      </c>
      <c r="P1193" t="n">
        <v>0.002121</v>
      </c>
      <c r="Q1193" t="n">
        <v>-90</v>
      </c>
      <c r="R1193" t="n">
        <v>0.10345</v>
      </c>
      <c r="S1193">
        <f>IMAGE("https://mitra.stanford.edu/kundaje/oak/projects/neuro-variants/variant_position/credible/roussos_2024/variant_figures/roussos_2024.infant.GLU/rs2332477_count_position.png",4,220,900)</f>
        <v/>
      </c>
      <c r="T1193">
        <f>IMAGE("https://mitra.stanford.edu/kundaje/oak/projects/neuro-variants/variant_position/credible/roussos_2024/variant_figures/roussos_2024.infant.GLU/rs2332477_profile_position.png",4,220,900)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0.110570081</v>
      </c>
      <c r="G1194" t="n">
        <v>0.0429111902603088</v>
      </c>
      <c r="H1194" t="n">
        <v>0.0149267622816347</v>
      </c>
      <c r="I1194" t="n">
        <v>0.3649153987335236</v>
      </c>
      <c r="J1194" t="n">
        <v>0.0062424215701403</v>
      </c>
      <c r="K1194" t="n">
        <v>0.7414316044668104</v>
      </c>
      <c r="L1194" t="b">
        <v>0</v>
      </c>
      <c r="M1194" t="b">
        <v>0</v>
      </c>
      <c r="N1194" t="inlineStr">
        <is>
          <t>alt</t>
        </is>
      </c>
      <c r="O1194" t="n">
        <v>-70</v>
      </c>
      <c r="P1194" t="n">
        <v>0.00509</v>
      </c>
      <c r="Q1194" t="n">
        <v>100</v>
      </c>
      <c r="R1194" t="n">
        <v>0.0354</v>
      </c>
      <c r="S1194">
        <f>IMAGE("https://mitra.stanford.edu/kundaje/oak/projects/neuro-variants/variant_position/credible/roussos_2024/variant_figures/roussos_2024.infant.GLU/rs2097866_count_position.png",4,220,900)</f>
        <v/>
      </c>
      <c r="T1194">
        <f>IMAGE("https://mitra.stanford.edu/kundaje/oak/projects/neuro-variants/variant_position/credible/roussos_2024/variant_figures/roussos_2024.infant.GLU/rs2097866_profile_position.png",4,220,900)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-0.0050911089199999</v>
      </c>
      <c r="G1195" t="n">
        <v>0.5961422322178054</v>
      </c>
      <c r="H1195" t="n">
        <v>0.0071206912799321</v>
      </c>
      <c r="I1195" t="n">
        <v>0.9323431937829916</v>
      </c>
      <c r="J1195" t="n">
        <v>0.0237869000639343</v>
      </c>
      <c r="K1195" t="n">
        <v>0.5110014594315688</v>
      </c>
      <c r="L1195" t="b">
        <v>0</v>
      </c>
      <c r="M1195" t="b">
        <v>0</v>
      </c>
      <c r="N1195" t="inlineStr">
        <is>
          <t>ref</t>
        </is>
      </c>
      <c r="O1195" t="n">
        <v>100</v>
      </c>
      <c r="P1195" t="n">
        <v>0.0479</v>
      </c>
      <c r="Q1195" t="n">
        <v>90</v>
      </c>
      <c r="R1195" t="n">
        <v>0.1476</v>
      </c>
      <c r="S1195">
        <f>IMAGE("https://mitra.stanford.edu/kundaje/oak/projects/neuro-variants/variant_position/credible/roussos_2024/variant_figures/roussos_2024.infant.GLU/rs2526860_count_position.png",4,220,900)</f>
        <v/>
      </c>
      <c r="T1195">
        <f>IMAGE("https://mitra.stanford.edu/kundaje/oak/projects/neuro-variants/variant_position/credible/roussos_2024/variant_figures/roussos_2024.infant.GLU/rs2526860_profile_position.png",4,220,900)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0.0702530262</v>
      </c>
      <c r="G1196" t="n">
        <v>0.102060808643754</v>
      </c>
      <c r="H1196" t="n">
        <v>0.009612809648799099</v>
      </c>
      <c r="I1196" t="n">
        <v>0.7338318036710477</v>
      </c>
      <c r="J1196" t="n">
        <v>0.0245993077448796</v>
      </c>
      <c r="K1196" t="n">
        <v>0.4947805317383753</v>
      </c>
      <c r="L1196" t="b">
        <v>0</v>
      </c>
      <c r="M1196" t="b">
        <v>0</v>
      </c>
      <c r="N1196" t="inlineStr">
        <is>
          <t>alt</t>
        </is>
      </c>
      <c r="O1196" t="n">
        <v>-25</v>
      </c>
      <c r="P1196" t="n">
        <v>0.0824</v>
      </c>
      <c r="Q1196" t="n">
        <v>-25</v>
      </c>
      <c r="R1196" t="n">
        <v>0.05133</v>
      </c>
      <c r="S1196">
        <f>IMAGE("https://mitra.stanford.edu/kundaje/oak/projects/neuro-variants/variant_position/credible/roussos_2024/variant_figures/roussos_2024.infant.GLU/rs7157250_count_position.png",4,220,900)</f>
        <v/>
      </c>
      <c r="T1196">
        <f>IMAGE("https://mitra.stanford.edu/kundaje/oak/projects/neuro-variants/variant_position/credible/roussos_2024/variant_figures/roussos_2024.infant.GLU/rs7157250_profile_position.png",4,220,900)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-0.0504618732</v>
      </c>
      <c r="G1197" t="n">
        <v>0.1705893799164152</v>
      </c>
      <c r="H1197" t="n">
        <v>0.0331905820716227</v>
      </c>
      <c r="I1197" t="n">
        <v>0.0409776758146148</v>
      </c>
      <c r="J1197" t="n">
        <v>0.0130944244802574</v>
      </c>
      <c r="K1197" t="n">
        <v>0.6171184464924073</v>
      </c>
      <c r="L1197" t="b">
        <v>0</v>
      </c>
      <c r="M1197" t="b">
        <v>0</v>
      </c>
      <c r="N1197" t="inlineStr">
        <is>
          <t>ref</t>
        </is>
      </c>
      <c r="O1197" t="n">
        <v>-65</v>
      </c>
      <c r="P1197" t="n">
        <v>0.0008774</v>
      </c>
      <c r="Q1197" t="n">
        <v>100</v>
      </c>
      <c r="R1197" t="n">
        <v>0.06396</v>
      </c>
      <c r="S1197">
        <f>IMAGE("https://mitra.stanford.edu/kundaje/oak/projects/neuro-variants/variant_position/credible/roussos_2024/variant_figures/roussos_2024.infant.GLU/rs67981189_count_position.png",4,220,900)</f>
        <v/>
      </c>
      <c r="T1197">
        <f>IMAGE("https://mitra.stanford.edu/kundaje/oak/projects/neuro-variants/variant_position/credible/roussos_2024/variant_figures/roussos_2024.infant.GLU/rs67981189_profile_position.png",4,220,900)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0.0229447468</v>
      </c>
      <c r="G1198" t="n">
        <v>0.1517615892635252</v>
      </c>
      <c r="H1198" t="n">
        <v>0.0171868070718607</v>
      </c>
      <c r="I1198" t="n">
        <v>0.2903797740860054</v>
      </c>
      <c r="J1198" t="n">
        <v>0.09721554707996199</v>
      </c>
      <c r="K1198" t="n">
        <v>0.2188121417249108</v>
      </c>
      <c r="L1198" t="b">
        <v>0</v>
      </c>
      <c r="M1198" t="b">
        <v>0</v>
      </c>
      <c r="N1198" t="inlineStr">
        <is>
          <t>alt</t>
        </is>
      </c>
      <c r="O1198" t="n">
        <v>-70</v>
      </c>
      <c r="P1198" t="n">
        <v>0.06573</v>
      </c>
      <c r="Q1198" t="n">
        <v>-70</v>
      </c>
      <c r="R1198" t="n">
        <v>0.1377</v>
      </c>
      <c r="S1198">
        <f>IMAGE("https://mitra.stanford.edu/kundaje/oak/projects/neuro-variants/variant_position/credible/roussos_2024/variant_figures/roussos_2024.infant.GLU/rs7146932_count_position.png",4,220,900)</f>
        <v/>
      </c>
      <c r="T1198">
        <f>IMAGE("https://mitra.stanford.edu/kundaje/oak/projects/neuro-variants/variant_position/credible/roussos_2024/variant_figures/roussos_2024.infant.GLU/rs7146932_profile_position.png",4,220,900)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0.01033760958</v>
      </c>
      <c r="G1199" t="n">
        <v>0.6215951773452718</v>
      </c>
      <c r="H1199" t="n">
        <v>0.0294111761782987</v>
      </c>
      <c r="I1199" t="n">
        <v>0.0611814384180326</v>
      </c>
      <c r="J1199" t="n">
        <v>0.0069567230318128</v>
      </c>
      <c r="K1199" t="n">
        <v>0.7115511371578741</v>
      </c>
      <c r="L1199" t="b">
        <v>0</v>
      </c>
      <c r="M1199" t="b">
        <v>0</v>
      </c>
      <c r="N1199" t="inlineStr">
        <is>
          <t>alt</t>
        </is>
      </c>
      <c r="O1199" t="n">
        <v>-35</v>
      </c>
      <c r="P1199" t="n">
        <v>0.003906</v>
      </c>
      <c r="Q1199" t="n">
        <v>-30</v>
      </c>
      <c r="R1199" t="n">
        <v>0.02527</v>
      </c>
      <c r="S1199">
        <f>IMAGE("https://mitra.stanford.edu/kundaje/oak/projects/neuro-variants/variant_position/credible/roussos_2024/variant_figures/roussos_2024.infant.GLU/rs34488204_count_position.png",4,220,900)</f>
        <v/>
      </c>
      <c r="T1199">
        <f>IMAGE("https://mitra.stanford.edu/kundaje/oak/projects/neuro-variants/variant_position/credible/roussos_2024/variant_figures/roussos_2024.infant.GLU/rs34488204_profile_position.png",4,220,900)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-0.00147293734</v>
      </c>
      <c r="G1200" t="n">
        <v>0.5540851668088514</v>
      </c>
      <c r="H1200" t="n">
        <v>0.0300129872809275</v>
      </c>
      <c r="I1200" t="n">
        <v>0.0578680901764134</v>
      </c>
      <c r="J1200" t="n">
        <v>0.0136499922837804</v>
      </c>
      <c r="K1200" t="n">
        <v>0.6091796977958539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0.02948</v>
      </c>
      <c r="Q1200" t="n">
        <v>40</v>
      </c>
      <c r="R1200" t="n">
        <v>0.02434</v>
      </c>
      <c r="S1200">
        <f>IMAGE("https://mitra.stanford.edu/kundaje/oak/projects/neuro-variants/variant_position/credible/roussos_2024/variant_figures/roussos_2024.infant.GLU/rs3814869_count_position.png",4,220,900)</f>
        <v/>
      </c>
      <c r="T1200">
        <f>IMAGE("https://mitra.stanford.edu/kundaje/oak/projects/neuro-variants/variant_position/credible/roussos_2024/variant_figures/roussos_2024.infant.GLU/rs3814869_profile_position.png",4,220,900)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-0.02349548</v>
      </c>
      <c r="G1201" t="n">
        <v>0.2248548389215404</v>
      </c>
      <c r="H1201" t="n">
        <v>0.0175071979097654</v>
      </c>
      <c r="I1201" t="n">
        <v>0.2554444971416598</v>
      </c>
      <c r="J1201" t="n">
        <v>0.0650477303291518</v>
      </c>
      <c r="K1201" t="n">
        <v>0.292139109875978</v>
      </c>
      <c r="L1201" t="b">
        <v>0</v>
      </c>
      <c r="M1201" t="b">
        <v>0</v>
      </c>
      <c r="N1201" t="inlineStr">
        <is>
          <t>ref</t>
        </is>
      </c>
      <c r="O1201" t="n">
        <v>-5</v>
      </c>
      <c r="P1201" t="n">
        <v>0.001099</v>
      </c>
      <c r="Q1201" t="n">
        <v>10</v>
      </c>
      <c r="R1201" t="n">
        <v>0.0166</v>
      </c>
      <c r="S1201">
        <f>IMAGE("https://mitra.stanford.edu/kundaje/oak/projects/neuro-variants/variant_position/credible/roussos_2024/variant_figures/roussos_2024.infant.GLU/rs4048474_count_position.png",4,220,900)</f>
        <v/>
      </c>
      <c r="T1201">
        <f>IMAGE("https://mitra.stanford.edu/kundaje/oak/projects/neuro-variants/variant_position/credible/roussos_2024/variant_figures/roussos_2024.infant.GLU/rs4048474_profile_position.png",4,220,900)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-0.012836433</v>
      </c>
      <c r="G1202" t="n">
        <v>0.5794360068871384</v>
      </c>
      <c r="H1202" t="n">
        <v>0.027808633813709</v>
      </c>
      <c r="I1202" t="n">
        <v>0.0734527432273486</v>
      </c>
      <c r="J1202" t="n">
        <v>0.08583412332723379</v>
      </c>
      <c r="K1202" t="n">
        <v>0.2347054638532937</v>
      </c>
      <c r="L1202" t="b">
        <v>0</v>
      </c>
      <c r="M1202" t="b">
        <v>0</v>
      </c>
      <c r="N1202" t="inlineStr">
        <is>
          <t>ref</t>
        </is>
      </c>
      <c r="O1202" t="n">
        <v>-100</v>
      </c>
      <c r="P1202" t="n">
        <v>0.05118</v>
      </c>
      <c r="Q1202" t="n">
        <v>90</v>
      </c>
      <c r="R1202" t="n">
        <v>0.05615</v>
      </c>
      <c r="S1202">
        <f>IMAGE("https://mitra.stanford.edu/kundaje/oak/projects/neuro-variants/variant_position/credible/roussos_2024/variant_figures/roussos_2024.infant.GLU/rs221923_count_position.png",4,220,900)</f>
        <v/>
      </c>
      <c r="T1202">
        <f>IMAGE("https://mitra.stanford.edu/kundaje/oak/projects/neuro-variants/variant_position/credible/roussos_2024/variant_figures/roussos_2024.infant.GLU/rs221923_profile_position.png",4,220,900)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0.1134012819999999</v>
      </c>
      <c r="G1203" t="n">
        <v>0.0401902340325233</v>
      </c>
      <c r="H1203" t="n">
        <v>0.0199300135206276</v>
      </c>
      <c r="I1203" t="n">
        <v>0.1862637000143246</v>
      </c>
      <c r="J1203" t="n">
        <v>0.0244152207941091</v>
      </c>
      <c r="K1203" t="n">
        <v>0.4947307988669744</v>
      </c>
      <c r="L1203" t="b">
        <v>0</v>
      </c>
      <c r="M1203" t="b">
        <v>0</v>
      </c>
      <c r="N1203" t="inlineStr">
        <is>
          <t>alt</t>
        </is>
      </c>
      <c r="O1203" t="n">
        <v>-35</v>
      </c>
      <c r="P1203" t="n">
        <v>0.008330000000000001</v>
      </c>
      <c r="Q1203" t="n">
        <v>60</v>
      </c>
      <c r="R1203" t="n">
        <v>0.09039999999999999</v>
      </c>
      <c r="S1203">
        <f>IMAGE("https://mitra.stanford.edu/kundaje/oak/projects/neuro-variants/variant_position/credible/roussos_2024/variant_figures/roussos_2024.infant.GLU/rs75982415_count_position.png",4,220,900)</f>
        <v/>
      </c>
      <c r="T1203">
        <f>IMAGE("https://mitra.stanford.edu/kundaje/oak/projects/neuro-variants/variant_position/credible/roussos_2024/variant_figures/roussos_2024.infant.GLU/rs75982415_profile_position.png",4,220,900)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-0.151450534</v>
      </c>
      <c r="G1204" t="n">
        <v>0.020504522080027</v>
      </c>
      <c r="H1204" t="n">
        <v>0.0227554664911108</v>
      </c>
      <c r="I1204" t="n">
        <v>0.1339225878082451</v>
      </c>
      <c r="J1204" t="n">
        <v>0.3391961903922044</v>
      </c>
      <c r="K1204" t="n">
        <v>0.0591500733008017</v>
      </c>
      <c r="L1204" t="b">
        <v>0</v>
      </c>
      <c r="M1204" t="b">
        <v>0</v>
      </c>
      <c r="N1204" t="inlineStr">
        <is>
          <t>ref</t>
        </is>
      </c>
      <c r="O1204" t="n">
        <v>55</v>
      </c>
      <c r="P1204" t="n">
        <v>0.001381</v>
      </c>
      <c r="Q1204" t="n">
        <v>90</v>
      </c>
      <c r="R1204" t="n">
        <v>0.09229999999999999</v>
      </c>
      <c r="S1204">
        <f>IMAGE("https://mitra.stanford.edu/kundaje/oak/projects/neuro-variants/variant_position/credible/roussos_2024/variant_figures/roussos_2024.infant.GLU/rs142859468_count_position.png",4,220,900)</f>
        <v/>
      </c>
      <c r="T1204">
        <f>IMAGE("https://mitra.stanford.edu/kundaje/oak/projects/neuro-variants/variant_position/credible/roussos_2024/variant_figures/roussos_2024.infant.GLU/rs142859468_profile_position.png",4,220,900)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-0.0278953708</v>
      </c>
      <c r="G1205" t="n">
        <v>0.3510218961043571</v>
      </c>
      <c r="H1205" t="n">
        <v>0.009042345467062399</v>
      </c>
      <c r="I1205" t="n">
        <v>0.8071468610356632</v>
      </c>
      <c r="J1205" t="n">
        <v>0.4577261403470095</v>
      </c>
      <c r="K1205" t="n">
        <v>0.0359992462308211</v>
      </c>
      <c r="L1205" t="b">
        <v>0</v>
      </c>
      <c r="M1205" t="b">
        <v>0</v>
      </c>
      <c r="N1205" t="inlineStr">
        <is>
          <t>ref</t>
        </is>
      </c>
      <c r="O1205" t="n">
        <v>100</v>
      </c>
      <c r="P1205" t="n">
        <v>0.03403</v>
      </c>
      <c r="Q1205" t="n">
        <v>100</v>
      </c>
      <c r="R1205" t="n">
        <v>0.3115</v>
      </c>
      <c r="S1205">
        <f>IMAGE("https://mitra.stanford.edu/kundaje/oak/projects/neuro-variants/variant_position/credible/roussos_2024/variant_figures/roussos_2024.infant.GLU/rs57923981_count_position.png",4,220,900)</f>
        <v/>
      </c>
      <c r="T1205">
        <f>IMAGE("https://mitra.stanford.edu/kundaje/oak/projects/neuro-variants/variant_position/credible/roussos_2024/variant_figures/roussos_2024.infant.GLU/rs57923981_profile_position.png",4,220,900)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-0.0941353073999999</v>
      </c>
      <c r="G1206" t="n">
        <v>0.0671109734244115</v>
      </c>
      <c r="H1206" t="n">
        <v>0.0384179121746375</v>
      </c>
      <c r="I1206" t="n">
        <v>0.0257911359585183</v>
      </c>
      <c r="J1206" t="n">
        <v>0.0151061531338874</v>
      </c>
      <c r="K1206" t="n">
        <v>0.6033930230303395</v>
      </c>
      <c r="L1206" t="b">
        <v>0</v>
      </c>
      <c r="M1206" t="b">
        <v>0</v>
      </c>
      <c r="N1206" t="inlineStr">
        <is>
          <t>ref</t>
        </is>
      </c>
      <c r="O1206" t="n">
        <v>-95</v>
      </c>
      <c r="P1206" t="n">
        <v>0.007305</v>
      </c>
      <c r="Q1206" t="n">
        <v>-30</v>
      </c>
      <c r="R1206" t="n">
        <v>0.04587</v>
      </c>
      <c r="S1206">
        <f>IMAGE("https://mitra.stanford.edu/kundaje/oak/projects/neuro-variants/variant_position/credible/roussos_2024/variant_figures/roussos_2024.infant.GLU/rs723966_count_position.png",4,220,900)</f>
        <v/>
      </c>
      <c r="T1206">
        <f>IMAGE("https://mitra.stanford.edu/kundaje/oak/projects/neuro-variants/variant_position/credible/roussos_2024/variant_figures/roussos_2024.infant.GLU/rs723966_profile_position.png",4,220,900)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-0.0309440874</v>
      </c>
      <c r="G1207" t="n">
        <v>0.3144328843737995</v>
      </c>
      <c r="H1207" t="n">
        <v>0.0078566207295084</v>
      </c>
      <c r="I1207" t="n">
        <v>0.9015132184307908</v>
      </c>
      <c r="J1207" t="n">
        <v>0.1639487202098811</v>
      </c>
      <c r="K1207" t="n">
        <v>0.1322711172318197</v>
      </c>
      <c r="L1207" t="b">
        <v>0</v>
      </c>
      <c r="M1207" t="b">
        <v>0</v>
      </c>
      <c r="N1207" t="inlineStr">
        <is>
          <t>ref</t>
        </is>
      </c>
      <c r="O1207" t="n">
        <v>-20</v>
      </c>
      <c r="P1207" t="n">
        <v>0.003323</v>
      </c>
      <c r="Q1207" t="n">
        <v>100</v>
      </c>
      <c r="R1207" t="n">
        <v>0.2954</v>
      </c>
      <c r="S1207">
        <f>IMAGE("https://mitra.stanford.edu/kundaje/oak/projects/neuro-variants/variant_position/credible/roussos_2024/variant_figures/roussos_2024.infant.GLU/rs61991204_count_position.png",4,220,900)</f>
        <v/>
      </c>
      <c r="T1207">
        <f>IMAGE("https://mitra.stanford.edu/kundaje/oak/projects/neuro-variants/variant_position/credible/roussos_2024/variant_figures/roussos_2024.infant.GLU/rs61991204_profile_position.png",4,220,900)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-0.0730702542</v>
      </c>
      <c r="G1208" t="n">
        <v>0.09493754916504581</v>
      </c>
      <c r="H1208" t="n">
        <v>0.0116950644074978</v>
      </c>
      <c r="I1208" t="n">
        <v>0.5829962824384503</v>
      </c>
      <c r="J1208" t="n">
        <v>0.071858947507661</v>
      </c>
      <c r="K1208" t="n">
        <v>0.268645910101943</v>
      </c>
      <c r="L1208" t="b">
        <v>0</v>
      </c>
      <c r="M1208" t="b">
        <v>0</v>
      </c>
      <c r="N1208" t="inlineStr">
        <is>
          <t>ref</t>
        </is>
      </c>
      <c r="O1208" t="n">
        <v>-35</v>
      </c>
      <c r="P1208" t="n">
        <v>0.002007</v>
      </c>
      <c r="Q1208" t="n">
        <v>-15</v>
      </c>
      <c r="R1208" t="n">
        <v>0.01019</v>
      </c>
      <c r="S1208">
        <f>IMAGE("https://mitra.stanford.edu/kundaje/oak/projects/neuro-variants/variant_position/credible/roussos_2024/variant_figures/roussos_2024.infant.GLU/rs78053899_count_position.png",4,220,900)</f>
        <v/>
      </c>
      <c r="T1208">
        <f>IMAGE("https://mitra.stanford.edu/kundaje/oak/projects/neuro-variants/variant_position/credible/roussos_2024/variant_figures/roussos_2024.infant.GLU/rs78053899_profile_position.png",4,220,900)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0.19659046</v>
      </c>
      <c r="G1209" t="n">
        <v>0.0110342079273437</v>
      </c>
      <c r="H1209" t="n">
        <v>0.0297554638028575</v>
      </c>
      <c r="I1209" t="n">
        <v>0.0613227393536821</v>
      </c>
      <c r="J1209" t="n">
        <v>0.09298705879759241</v>
      </c>
      <c r="K1209" t="n">
        <v>0.2204223983759419</v>
      </c>
      <c r="L1209" t="b">
        <v>1</v>
      </c>
      <c r="M1209" t="b">
        <v>0</v>
      </c>
      <c r="N1209" t="inlineStr">
        <is>
          <t>alt</t>
        </is>
      </c>
      <c r="O1209" t="n">
        <v>-85</v>
      </c>
      <c r="P1209" t="n">
        <v>0.1224</v>
      </c>
      <c r="Q1209" t="n">
        <v>0</v>
      </c>
      <c r="R1209" t="n">
        <v>0</v>
      </c>
      <c r="S1209">
        <f>IMAGE("https://mitra.stanford.edu/kundaje/oak/projects/neuro-variants/variant_position/credible/roussos_2024/variant_figures/roussos_2024.infant.GLU/rs1990241_count_position.png",4,220,900)</f>
        <v/>
      </c>
      <c r="T1209">
        <f>IMAGE("https://mitra.stanford.edu/kundaje/oak/projects/neuro-variants/variant_position/credible/roussos_2024/variant_figures/roussos_2024.infant.GLU/rs1990241_profile_position.png",4,220,900)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-0.08177798999999999</v>
      </c>
      <c r="G1210" t="n">
        <v>0.07496913705408199</v>
      </c>
      <c r="H1210" t="n">
        <v>0.0106714708879951</v>
      </c>
      <c r="I1210" t="n">
        <v>0.6786462461364532</v>
      </c>
      <c r="J1210" t="n">
        <v>0.0083324147357745</v>
      </c>
      <c r="K1210" t="n">
        <v>0.6907962821155714</v>
      </c>
      <c r="L1210" t="b">
        <v>0</v>
      </c>
      <c r="M1210" t="b">
        <v>0</v>
      </c>
      <c r="N1210" t="inlineStr">
        <is>
          <t>ref</t>
        </is>
      </c>
      <c r="O1210" t="n">
        <v>-100</v>
      </c>
      <c r="P1210" t="n">
        <v>0.005066</v>
      </c>
      <c r="Q1210" t="n">
        <v>25</v>
      </c>
      <c r="R1210" t="n">
        <v>0.009094</v>
      </c>
      <c r="S1210">
        <f>IMAGE("https://mitra.stanford.edu/kundaje/oak/projects/neuro-variants/variant_position/credible/roussos_2024/variant_figures/roussos_2024.infant.GLU/rs34873919_count_position.png",4,220,900)</f>
        <v/>
      </c>
      <c r="T1210">
        <f>IMAGE("https://mitra.stanford.edu/kundaje/oak/projects/neuro-variants/variant_position/credible/roussos_2024/variant_figures/roussos_2024.infant.GLU/rs34873919_profile_position.png",4,220,900)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-0.0011985653199999</v>
      </c>
      <c r="G1211" t="n">
        <v>0.5516051958804777</v>
      </c>
      <c r="H1211" t="n">
        <v>0.0294793325344737</v>
      </c>
      <c r="I1211" t="n">
        <v>0.0611421762812864</v>
      </c>
      <c r="J1211" t="n">
        <v>0.0156308560594369</v>
      </c>
      <c r="K1211" t="n">
        <v>0.5974066611612295</v>
      </c>
      <c r="L1211" t="b">
        <v>0</v>
      </c>
      <c r="M1211" t="b">
        <v>0</v>
      </c>
      <c r="N1211" t="inlineStr">
        <is>
          <t>ref</t>
        </is>
      </c>
      <c r="O1211" t="n">
        <v>45</v>
      </c>
      <c r="P1211" t="n">
        <v>0.02568</v>
      </c>
      <c r="Q1211" t="n">
        <v>100</v>
      </c>
      <c r="R1211" t="n">
        <v>0.1465</v>
      </c>
      <c r="S1211">
        <f>IMAGE("https://mitra.stanford.edu/kundaje/oak/projects/neuro-variants/variant_position/credible/roussos_2024/variant_figures/roussos_2024.infant.GLU/rs80173099_count_position.png",4,220,900)</f>
        <v/>
      </c>
      <c r="T1211">
        <f>IMAGE("https://mitra.stanford.edu/kundaje/oak/projects/neuro-variants/variant_position/credible/roussos_2024/variant_figures/roussos_2024.infant.GLU/rs80173099_profile_position.png",4,220,900)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-0.0304460006</v>
      </c>
      <c r="G1212" t="n">
        <v>0.3126278508782267</v>
      </c>
      <c r="H1212" t="n">
        <v>0.0620067677541635</v>
      </c>
      <c r="I1212" t="n">
        <v>0.002631881944313</v>
      </c>
      <c r="J1212" t="n">
        <v>0.0326627571154566</v>
      </c>
      <c r="K1212" t="n">
        <v>0.4316442354689603</v>
      </c>
      <c r="L1212" t="b">
        <v>1</v>
      </c>
      <c r="M1212" t="b">
        <v>0</v>
      </c>
      <c r="N1212" t="inlineStr">
        <is>
          <t>ref</t>
        </is>
      </c>
      <c r="O1212" t="n">
        <v>100</v>
      </c>
      <c r="P1212" t="n">
        <v>0.04865</v>
      </c>
      <c r="Q1212" t="n">
        <v>-40</v>
      </c>
      <c r="R1212" t="n">
        <v>0.06647</v>
      </c>
      <c r="S1212">
        <f>IMAGE("https://mitra.stanford.edu/kundaje/oak/projects/neuro-variants/variant_position/credible/roussos_2024/variant_figures/roussos_2024.infant.GLU/rs35054229_count_position.png",4,220,900)</f>
        <v/>
      </c>
      <c r="T1212">
        <f>IMAGE("https://mitra.stanford.edu/kundaje/oak/projects/neuro-variants/variant_position/credible/roussos_2024/variant_figures/roussos_2024.infant.GLU/rs35054229_profile_position.png",4,220,900)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-0.02506059692</v>
      </c>
      <c r="G1213" t="n">
        <v>0.3767605648642896</v>
      </c>
      <c r="H1213" t="n">
        <v>0.0352987618684742</v>
      </c>
      <c r="I1213" t="n">
        <v>0.0329191680407114</v>
      </c>
      <c r="J1213" t="n">
        <v>0.2987378469542979</v>
      </c>
      <c r="K1213" t="n">
        <v>0.0681834150929021</v>
      </c>
      <c r="L1213" t="b">
        <v>0</v>
      </c>
      <c r="M1213" t="b">
        <v>0</v>
      </c>
      <c r="N1213" t="inlineStr">
        <is>
          <t>ref</t>
        </is>
      </c>
      <c r="O1213" t="n">
        <v>-15</v>
      </c>
      <c r="P1213" t="n">
        <v>0.003784</v>
      </c>
      <c r="Q1213" t="n">
        <v>15</v>
      </c>
      <c r="R1213" t="n">
        <v>0.001953</v>
      </c>
      <c r="S1213">
        <f>IMAGE("https://mitra.stanford.edu/kundaje/oak/projects/neuro-variants/variant_position/credible/roussos_2024/variant_figures/roussos_2024.infant.GLU/rs116311114_count_position.png",4,220,900)</f>
        <v/>
      </c>
      <c r="T1213">
        <f>IMAGE("https://mitra.stanford.edu/kundaje/oak/projects/neuro-variants/variant_position/credible/roussos_2024/variant_figures/roussos_2024.infant.GLU/rs116311114_profile_position.png",4,220,900)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0.0375629746</v>
      </c>
      <c r="G1214" t="n">
        <v>0.2393614255305707</v>
      </c>
      <c r="H1214" t="n">
        <v>0.0538665403080086</v>
      </c>
      <c r="I1214" t="n">
        <v>0.0053061950533039</v>
      </c>
      <c r="J1214" t="n">
        <v>0.0907901408761215</v>
      </c>
      <c r="K1214" t="n">
        <v>0.222793606764376</v>
      </c>
      <c r="L1214" t="b">
        <v>1</v>
      </c>
      <c r="M1214" t="b">
        <v>1</v>
      </c>
      <c r="N1214" t="inlineStr">
        <is>
          <t>alt</t>
        </is>
      </c>
      <c r="O1214" t="n">
        <v>-95</v>
      </c>
      <c r="P1214" t="n">
        <v>0.02075</v>
      </c>
      <c r="Q1214" t="n">
        <v>35</v>
      </c>
      <c r="R1214" t="n">
        <v>0.0545</v>
      </c>
      <c r="S1214">
        <f>IMAGE("https://mitra.stanford.edu/kundaje/oak/projects/neuro-variants/variant_position/credible/roussos_2024/variant_figures/roussos_2024.infant.GLU/rs113102830_count_position.png",4,220,900)</f>
        <v/>
      </c>
      <c r="T1214">
        <f>IMAGE("https://mitra.stanford.edu/kundaje/oak/projects/neuro-variants/variant_position/credible/roussos_2024/variant_figures/roussos_2024.infant.GLU/rs113102830_profile_position.png",4,220,900)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0.0853612219999999</v>
      </c>
      <c r="G1215" t="n">
        <v>0.0695131266568145</v>
      </c>
      <c r="H1215" t="n">
        <v>0.0151393381273446</v>
      </c>
      <c r="I1215" t="n">
        <v>0.3642459225980872</v>
      </c>
      <c r="J1215" t="n">
        <v>0.1102702881456821</v>
      </c>
      <c r="K1215" t="n">
        <v>0.19299041640486</v>
      </c>
      <c r="L1215" t="b">
        <v>0</v>
      </c>
      <c r="M1215" t="b">
        <v>0</v>
      </c>
      <c r="N1215" t="inlineStr">
        <is>
          <t>alt</t>
        </is>
      </c>
      <c r="O1215" t="n">
        <v>85</v>
      </c>
      <c r="P1215" t="n">
        <v>0.01733</v>
      </c>
      <c r="Q1215" t="n">
        <v>-80</v>
      </c>
      <c r="R1215" t="n">
        <v>0.05164</v>
      </c>
      <c r="S1215">
        <f>IMAGE("https://mitra.stanford.edu/kundaje/oak/projects/neuro-variants/variant_position/credible/roussos_2024/variant_figures/roussos_2024.infant.GLU/rs111590846_count_position.png",4,220,900)</f>
        <v/>
      </c>
      <c r="T1215">
        <f>IMAGE("https://mitra.stanford.edu/kundaje/oak/projects/neuro-variants/variant_position/credible/roussos_2024/variant_figures/roussos_2024.infant.GLU/rs111590846_profile_position.png",4,220,900)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0.0061127686</v>
      </c>
      <c r="G1216" t="n">
        <v>0.6677785381858509</v>
      </c>
      <c r="H1216" t="n">
        <v>0.0105249307034767</v>
      </c>
      <c r="I1216" t="n">
        <v>0.6879645197992479</v>
      </c>
      <c r="J1216" t="n">
        <v>0.15045746158425</v>
      </c>
      <c r="K1216" t="n">
        <v>0.1498092429332719</v>
      </c>
      <c r="L1216" t="b">
        <v>0</v>
      </c>
      <c r="M1216" t="b">
        <v>0</v>
      </c>
      <c r="N1216" t="inlineStr">
        <is>
          <t>alt</t>
        </is>
      </c>
      <c r="O1216" t="n">
        <v>100</v>
      </c>
      <c r="P1216" t="n">
        <v>0.0381</v>
      </c>
      <c r="Q1216" t="n">
        <v>100</v>
      </c>
      <c r="R1216" t="n">
        <v>0.1853</v>
      </c>
      <c r="S1216">
        <f>IMAGE("https://mitra.stanford.edu/kundaje/oak/projects/neuro-variants/variant_position/credible/roussos_2024/variant_figures/roussos_2024.infant.GLU/rs77942366_count_position.png",4,220,900)</f>
        <v/>
      </c>
      <c r="T1216">
        <f>IMAGE("https://mitra.stanford.edu/kundaje/oak/projects/neuro-variants/variant_position/credible/roussos_2024/variant_figures/roussos_2024.infant.GLU/rs77942366_profile_position.png",4,220,900)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-0.0850474784</v>
      </c>
      <c r="G1217" t="n">
        <v>0.0782744258092474</v>
      </c>
      <c r="H1217" t="n">
        <v>0.026572414155181</v>
      </c>
      <c r="I1217" t="n">
        <v>0.0846424049594556</v>
      </c>
      <c r="J1217" t="n">
        <v>0.1709241826318921</v>
      </c>
      <c r="K1217" t="n">
        <v>0.1386890185841202</v>
      </c>
      <c r="L1217" t="b">
        <v>0</v>
      </c>
      <c r="M1217" t="b">
        <v>0</v>
      </c>
      <c r="N1217" t="inlineStr">
        <is>
          <t>ref</t>
        </is>
      </c>
      <c r="O1217" t="n">
        <v>-100</v>
      </c>
      <c r="P1217" t="n">
        <v>0.0635</v>
      </c>
      <c r="Q1217" t="n">
        <v>-100</v>
      </c>
      <c r="R1217" t="n">
        <v>0.1348</v>
      </c>
      <c r="S1217">
        <f>IMAGE("https://mitra.stanford.edu/kundaje/oak/projects/neuro-variants/variant_position/credible/roussos_2024/variant_figures/roussos_2024.infant.GLU/rs76088535_count_position.png",4,220,900)</f>
        <v/>
      </c>
      <c r="T1217">
        <f>IMAGE("https://mitra.stanford.edu/kundaje/oak/projects/neuro-variants/variant_position/credible/roussos_2024/variant_figures/roussos_2024.infant.GLU/rs76088535_profile_position.png",4,220,900)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0.246012318</v>
      </c>
      <c r="G1218" t="n">
        <v>0.0058453740400021</v>
      </c>
      <c r="H1218" t="n">
        <v>0.0321705340963271</v>
      </c>
      <c r="I1218" t="n">
        <v>0.0456874862160175</v>
      </c>
      <c r="J1218" t="n">
        <v>0.1766319804228487</v>
      </c>
      <c r="K1218" t="n">
        <v>0.1257937061634328</v>
      </c>
      <c r="L1218" t="b">
        <v>1</v>
      </c>
      <c r="M1218" t="b">
        <v>1</v>
      </c>
      <c r="N1218" t="inlineStr">
        <is>
          <t>alt</t>
        </is>
      </c>
      <c r="O1218" t="n">
        <v>0</v>
      </c>
      <c r="P1218" t="n">
        <v>0</v>
      </c>
      <c r="Q1218" t="n">
        <v>-70</v>
      </c>
      <c r="R1218" t="n">
        <v>0.0354</v>
      </c>
      <c r="S1218">
        <f>IMAGE("https://mitra.stanford.edu/kundaje/oak/projects/neuro-variants/variant_position/credible/roussos_2024/variant_figures/roussos_2024.infant.GLU/rs113124653_count_position.png",4,220,900)</f>
        <v/>
      </c>
      <c r="T1218">
        <f>IMAGE("https://mitra.stanford.edu/kundaje/oak/projects/neuro-variants/variant_position/credible/roussos_2024/variant_figures/roussos_2024.infant.GLU/rs113124653_profile_position.png",4,220,900)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0.0241395306719999</v>
      </c>
      <c r="G1219" t="n">
        <v>0.3958191299844545</v>
      </c>
      <c r="H1219" t="n">
        <v>0.022045526911846</v>
      </c>
      <c r="I1219" t="n">
        <v>0.1484159056913592</v>
      </c>
      <c r="J1219" t="n">
        <v>0.287213121982407</v>
      </c>
      <c r="K1219" t="n">
        <v>0.07531517818805269</v>
      </c>
      <c r="L1219" t="b">
        <v>0</v>
      </c>
      <c r="M1219" t="b">
        <v>0</v>
      </c>
      <c r="N1219" t="inlineStr">
        <is>
          <t>alt</t>
        </is>
      </c>
      <c r="O1219" t="n">
        <v>-15</v>
      </c>
      <c r="P1219" t="n">
        <v>0.001495</v>
      </c>
      <c r="Q1219" t="n">
        <v>-15</v>
      </c>
      <c r="R1219" t="n">
        <v>0.02307</v>
      </c>
      <c r="S1219">
        <f>IMAGE("https://mitra.stanford.edu/kundaje/oak/projects/neuro-variants/variant_position/credible/roussos_2024/variant_figures/roussos_2024.infant.GLU/rs116767752_count_position.png",4,220,900)</f>
        <v/>
      </c>
      <c r="T1219">
        <f>IMAGE("https://mitra.stanford.edu/kundaje/oak/projects/neuro-variants/variant_position/credible/roussos_2024/variant_figures/roussos_2024.infant.GLU/rs116767752_profile_position.png",4,220,900)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0.001212529798</v>
      </c>
      <c r="G1220" t="n">
        <v>0.9374218241083804</v>
      </c>
      <c r="H1220" t="n">
        <v>0.0116243537071831</v>
      </c>
      <c r="I1220" t="n">
        <v>0.5923417706633257</v>
      </c>
      <c r="J1220" t="n">
        <v>0.0424866068475935</v>
      </c>
      <c r="K1220" t="n">
        <v>0.3782701059020394</v>
      </c>
      <c r="L1220" t="b">
        <v>0</v>
      </c>
      <c r="M1220" t="b">
        <v>0</v>
      </c>
      <c r="N1220" t="inlineStr">
        <is>
          <t>alt</t>
        </is>
      </c>
      <c r="O1220" t="n">
        <v>80</v>
      </c>
      <c r="P1220" t="n">
        <v>0.03534</v>
      </c>
      <c r="Q1220" t="n">
        <v>-45</v>
      </c>
      <c r="R1220" t="n">
        <v>0.05865</v>
      </c>
      <c r="S1220">
        <f>IMAGE("https://mitra.stanford.edu/kundaje/oak/projects/neuro-variants/variant_position/credible/roussos_2024/variant_figures/roussos_2024.infant.GLU/rs71427137_count_position.png",4,220,900)</f>
        <v/>
      </c>
      <c r="T1220">
        <f>IMAGE("https://mitra.stanford.edu/kundaje/oak/projects/neuro-variants/variant_position/credible/roussos_2024/variant_figures/roussos_2024.infant.GLU/rs71427137_profile_position.png",4,220,900)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-0.0006184954399999</v>
      </c>
      <c r="G1221" t="n">
        <v>0.5625502835838452</v>
      </c>
      <c r="H1221" t="n">
        <v>0.0116122592747846</v>
      </c>
      <c r="I1221" t="n">
        <v>0.5898850027893699</v>
      </c>
      <c r="J1221" t="n">
        <v>0.0096055909521814</v>
      </c>
      <c r="K1221" t="n">
        <v>0.7037287361177679</v>
      </c>
      <c r="L1221" t="b">
        <v>0</v>
      </c>
      <c r="M1221" t="b">
        <v>0</v>
      </c>
      <c r="N1221" t="inlineStr">
        <is>
          <t>ref</t>
        </is>
      </c>
      <c r="O1221" t="n">
        <v>-100</v>
      </c>
      <c r="P1221" t="n">
        <v>0.00298</v>
      </c>
      <c r="Q1221" t="n">
        <v>100</v>
      </c>
      <c r="R1221" t="n">
        <v>0.0774</v>
      </c>
      <c r="S1221">
        <f>IMAGE("https://mitra.stanford.edu/kundaje/oak/projects/neuro-variants/variant_position/credible/roussos_2024/variant_figures/roussos_2024.infant.GLU/rs2332687_count_position.png",4,220,900)</f>
        <v/>
      </c>
      <c r="T1221">
        <f>IMAGE("https://mitra.stanford.edu/kundaje/oak/projects/neuro-variants/variant_position/credible/roussos_2024/variant_figures/roussos_2024.infant.GLU/rs2332687_profile_position.png",4,220,900)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0.00394694376</v>
      </c>
      <c r="G1222" t="n">
        <v>0.6441095234329659</v>
      </c>
      <c r="H1222" t="n">
        <v>0.0418210616223246</v>
      </c>
      <c r="I1222" t="n">
        <v>0.0168134118346259</v>
      </c>
      <c r="J1222" t="n">
        <v>0.08889966710024461</v>
      </c>
      <c r="K1222" t="n">
        <v>0.2274664380039873</v>
      </c>
      <c r="L1222" t="b">
        <v>1</v>
      </c>
      <c r="M1222" t="b">
        <v>0</v>
      </c>
      <c r="N1222" t="inlineStr">
        <is>
          <t>alt</t>
        </is>
      </c>
      <c r="O1222" t="n">
        <v>-30</v>
      </c>
      <c r="P1222" t="n">
        <v>0.006226</v>
      </c>
      <c r="Q1222" t="n">
        <v>-20</v>
      </c>
      <c r="R1222" t="n">
        <v>0.03894</v>
      </c>
      <c r="S1222">
        <f>IMAGE("https://mitra.stanford.edu/kundaje/oak/projects/neuro-variants/variant_position/credible/roussos_2024/variant_figures/roussos_2024.infant.GLU/rs2190864_count_position.png",4,220,900)</f>
        <v/>
      </c>
      <c r="T1222">
        <f>IMAGE("https://mitra.stanford.edu/kundaje/oak/projects/neuro-variants/variant_position/credible/roussos_2024/variant_figures/roussos_2024.infant.GLU/rs2190864_profile_position.png",4,220,900)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0.1253389412</v>
      </c>
      <c r="G1223" t="n">
        <v>0.0445022920411744</v>
      </c>
      <c r="H1223" t="n">
        <v>0.0216191393855866</v>
      </c>
      <c r="I1223" t="n">
        <v>0.1670704092678815</v>
      </c>
      <c r="J1223" t="n">
        <v>0.3295883948058819</v>
      </c>
      <c r="K1223" t="n">
        <v>0.059447622062816</v>
      </c>
      <c r="L1223" t="b">
        <v>0</v>
      </c>
      <c r="M1223" t="b">
        <v>0</v>
      </c>
      <c r="N1223" t="inlineStr">
        <is>
          <t>alt</t>
        </is>
      </c>
      <c r="O1223" t="n">
        <v>-25</v>
      </c>
      <c r="P1223" t="n">
        <v>0.03906</v>
      </c>
      <c r="Q1223" t="n">
        <v>0</v>
      </c>
      <c r="R1223" t="n">
        <v>0</v>
      </c>
      <c r="S1223">
        <f>IMAGE("https://mitra.stanford.edu/kundaje/oak/projects/neuro-variants/variant_position/credible/roussos_2024/variant_figures/roussos_2024.infant.GLU/rs2877774_count_position.png",4,220,900)</f>
        <v/>
      </c>
      <c r="T1223">
        <f>IMAGE("https://mitra.stanford.edu/kundaje/oak/projects/neuro-variants/variant_position/credible/roussos_2024/variant_figures/roussos_2024.infant.GLU/rs2877774_profile_position.png",4,220,900)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-0.0523395672</v>
      </c>
      <c r="G1224" t="n">
        <v>0.1608825987380407</v>
      </c>
      <c r="H1224" t="n">
        <v>0.0119674355406226</v>
      </c>
      <c r="I1224" t="n">
        <v>0.5540609062109294</v>
      </c>
      <c r="J1224" t="n">
        <v>0.06806366983399099</v>
      </c>
      <c r="K1224" t="n">
        <v>0.2809360087860191</v>
      </c>
      <c r="L1224" t="b">
        <v>0</v>
      </c>
      <c r="M1224" t="b">
        <v>0</v>
      </c>
      <c r="N1224" t="inlineStr">
        <is>
          <t>ref</t>
        </is>
      </c>
      <c r="O1224" t="n">
        <v>0</v>
      </c>
      <c r="P1224" t="n">
        <v>0</v>
      </c>
      <c r="Q1224" t="n">
        <v>70</v>
      </c>
      <c r="R1224" t="n">
        <v>0.01297</v>
      </c>
      <c r="S1224">
        <f>IMAGE("https://mitra.stanford.edu/kundaje/oak/projects/neuro-variants/variant_position/credible/roussos_2024/variant_figures/roussos_2024.infant.GLU/rs145192742_count_position.png",4,220,900)</f>
        <v/>
      </c>
      <c r="T1224">
        <f>IMAGE("https://mitra.stanford.edu/kundaje/oak/projects/neuro-variants/variant_position/credible/roussos_2024/variant_figures/roussos_2024.infant.GLU/rs145192742_profile_position.png",4,220,900)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0.0817117719999999</v>
      </c>
      <c r="G1225" t="n">
        <v>0.0729740842782341</v>
      </c>
      <c r="H1225" t="n">
        <v>0.0104419556310096</v>
      </c>
      <c r="I1225" t="n">
        <v>0.6945495029778841</v>
      </c>
      <c r="J1225" t="n">
        <v>0.0205857712912541</v>
      </c>
      <c r="K1225" t="n">
        <v>0.53288884439726</v>
      </c>
      <c r="L1225" t="b">
        <v>0</v>
      </c>
      <c r="M1225" t="b">
        <v>0</v>
      </c>
      <c r="N1225" t="inlineStr">
        <is>
          <t>alt</t>
        </is>
      </c>
      <c r="O1225" t="n">
        <v>-55</v>
      </c>
      <c r="P1225" t="n">
        <v>0.00458</v>
      </c>
      <c r="Q1225" t="n">
        <v>-60</v>
      </c>
      <c r="R1225" t="n">
        <v>0.0506</v>
      </c>
      <c r="S1225">
        <f>IMAGE("https://mitra.stanford.edu/kundaje/oak/projects/neuro-variants/variant_position/credible/roussos_2024/variant_figures/roussos_2024.infant.GLU/rs1779550_count_position.png",4,220,900)</f>
        <v/>
      </c>
      <c r="T1225">
        <f>IMAGE("https://mitra.stanford.edu/kundaje/oak/projects/neuro-variants/variant_position/credible/roussos_2024/variant_figures/roussos_2024.infant.GLU/rs1779550_profile_position.png",4,220,900)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-0.139543796</v>
      </c>
      <c r="G1226" t="n">
        <v>0.0260037226553661</v>
      </c>
      <c r="H1226" t="n">
        <v>0.019769599437063</v>
      </c>
      <c r="I1226" t="n">
        <v>0.1900271580407948</v>
      </c>
      <c r="J1226" t="n">
        <v>0.0242873520139332</v>
      </c>
      <c r="K1226" t="n">
        <v>0.492915846206757</v>
      </c>
      <c r="L1226" t="b">
        <v>0</v>
      </c>
      <c r="M1226" t="b">
        <v>0</v>
      </c>
      <c r="N1226" t="inlineStr">
        <is>
          <t>ref</t>
        </is>
      </c>
      <c r="O1226" t="n">
        <v>-75</v>
      </c>
      <c r="P1226" t="n">
        <v>0.02527</v>
      </c>
      <c r="Q1226" t="n">
        <v>25</v>
      </c>
      <c r="R1226" t="n">
        <v>0.0338</v>
      </c>
      <c r="S1226">
        <f>IMAGE("https://mitra.stanford.edu/kundaje/oak/projects/neuro-variants/variant_position/credible/roussos_2024/variant_figures/roussos_2024.infant.GLU/rs2841157_count_position.png",4,220,900)</f>
        <v/>
      </c>
      <c r="T1226">
        <f>IMAGE("https://mitra.stanford.edu/kundaje/oak/projects/neuro-variants/variant_position/credible/roussos_2024/variant_figures/roussos_2024.infant.GLU/rs2841157_profile_position.png",4,220,900)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0.0123463038</v>
      </c>
      <c r="G1227" t="n">
        <v>0.3478515411648554</v>
      </c>
      <c r="H1227" t="n">
        <v>0.0260052409794835</v>
      </c>
      <c r="I1227" t="n">
        <v>0.09227685869915429</v>
      </c>
      <c r="J1227" t="n">
        <v>0.2357183800348332</v>
      </c>
      <c r="K1227" t="n">
        <v>0.0904631051188709</v>
      </c>
      <c r="L1227" t="b">
        <v>0</v>
      </c>
      <c r="M1227" t="b">
        <v>0</v>
      </c>
      <c r="N1227" t="inlineStr">
        <is>
          <t>alt</t>
        </is>
      </c>
      <c r="O1227" t="n">
        <v>-100</v>
      </c>
      <c r="P1227" t="n">
        <v>0.0663</v>
      </c>
      <c r="Q1227" t="n">
        <v>60</v>
      </c>
      <c r="R1227" t="n">
        <v>0.01221</v>
      </c>
      <c r="S1227">
        <f>IMAGE("https://mitra.stanford.edu/kundaje/oak/projects/neuro-variants/variant_position/credible/roussos_2024/variant_figures/roussos_2024.infant.GLU/rs995791_count_position.png",4,220,900)</f>
        <v/>
      </c>
      <c r="T1227">
        <f>IMAGE("https://mitra.stanford.edu/kundaje/oak/projects/neuro-variants/variant_position/credible/roussos_2024/variant_figures/roussos_2024.infant.GLU/rs995791_profile_position.png",4,220,900)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-0.0093651862</v>
      </c>
      <c r="G1228" t="n">
        <v>0.4666638795749236</v>
      </c>
      <c r="H1228" t="n">
        <v>0.0111835663608167</v>
      </c>
      <c r="I1228" t="n">
        <v>0.611408763568875</v>
      </c>
      <c r="J1228" t="n">
        <v>0.165871161180802</v>
      </c>
      <c r="K1228" t="n">
        <v>0.1304514641565186</v>
      </c>
      <c r="L1228" t="b">
        <v>0</v>
      </c>
      <c r="M1228" t="b">
        <v>0</v>
      </c>
      <c r="N1228" t="inlineStr">
        <is>
          <t>ref</t>
        </is>
      </c>
      <c r="O1228" t="n">
        <v>-95</v>
      </c>
      <c r="P1228" t="n">
        <v>0.02026</v>
      </c>
      <c r="Q1228" t="n">
        <v>-90</v>
      </c>
      <c r="R1228" t="n">
        <v>0.07104000000000001</v>
      </c>
      <c r="S1228">
        <f>IMAGE("https://mitra.stanford.edu/kundaje/oak/projects/neuro-variants/variant_position/credible/roussos_2024/variant_figures/roussos_2024.infant.GLU/rs1157827_count_position.png",4,220,900)</f>
        <v/>
      </c>
      <c r="T1228">
        <f>IMAGE("https://mitra.stanford.edu/kundaje/oak/projects/neuro-variants/variant_position/credible/roussos_2024/variant_figures/roussos_2024.infant.GLU/rs1157827_profile_position.png",4,220,900)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-0.003137915892</v>
      </c>
      <c r="G1229" t="n">
        <v>0.8152626206365641</v>
      </c>
      <c r="H1229" t="n">
        <v>0.0414034520735314</v>
      </c>
      <c r="I1229" t="n">
        <v>0.0176853110193617</v>
      </c>
      <c r="J1229" t="n">
        <v>0.0790118829780197</v>
      </c>
      <c r="K1229" t="n">
        <v>0.2489264017723347</v>
      </c>
      <c r="L1229" t="b">
        <v>1</v>
      </c>
      <c r="M1229" t="b">
        <v>0</v>
      </c>
      <c r="N1229" t="inlineStr">
        <is>
          <t>ref</t>
        </is>
      </c>
      <c r="O1229" t="n">
        <v>100</v>
      </c>
      <c r="P1229" t="n">
        <v>0.01978</v>
      </c>
      <c r="Q1229" t="n">
        <v>100</v>
      </c>
      <c r="R1229" t="n">
        <v>0.1372</v>
      </c>
      <c r="S1229">
        <f>IMAGE("https://mitra.stanford.edu/kundaje/oak/projects/neuro-variants/variant_position/credible/roussos_2024/variant_figures/roussos_2024.infant.GLU/rs67517866_count_position.png",4,220,900)</f>
        <v/>
      </c>
      <c r="T1229">
        <f>IMAGE("https://mitra.stanford.edu/kundaje/oak/projects/neuro-variants/variant_position/credible/roussos_2024/variant_figures/roussos_2024.infant.GLU/rs67517866_profile_position.png",4,220,900)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-0.01996948926</v>
      </c>
      <c r="G1230" t="n">
        <v>0.4525651970597907</v>
      </c>
      <c r="H1230" t="n">
        <v>0.0331815573504715</v>
      </c>
      <c r="I1230" t="n">
        <v>0.0410608339745836</v>
      </c>
      <c r="J1230" t="n">
        <v>0.0677836812980885</v>
      </c>
      <c r="K1230" t="n">
        <v>0.2794343915793874</v>
      </c>
      <c r="L1230" t="b">
        <v>0</v>
      </c>
      <c r="M1230" t="b">
        <v>0</v>
      </c>
      <c r="N1230" t="inlineStr">
        <is>
          <t>ref</t>
        </is>
      </c>
      <c r="O1230" t="n">
        <v>45</v>
      </c>
      <c r="P1230" t="n">
        <v>0.01221</v>
      </c>
      <c r="Q1230" t="n">
        <v>45</v>
      </c>
      <c r="R1230" t="n">
        <v>0.11597</v>
      </c>
      <c r="S1230">
        <f>IMAGE("https://mitra.stanford.edu/kundaje/oak/projects/neuro-variants/variant_position/credible/roussos_2024/variant_figures/roussos_2024.infant.GLU/rs28637508_count_position.png",4,220,900)</f>
        <v/>
      </c>
      <c r="T1230">
        <f>IMAGE("https://mitra.stanford.edu/kundaje/oak/projects/neuro-variants/variant_position/credible/roussos_2024/variant_figures/roussos_2024.infant.GLU/rs28637508_profile_position.png",4,220,900)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0.0386863344</v>
      </c>
      <c r="G1231" t="n">
        <v>0.2303694960095189</v>
      </c>
      <c r="H1231" t="n">
        <v>0.08150625484403071</v>
      </c>
      <c r="I1231" t="n">
        <v>0.000579513638699</v>
      </c>
      <c r="J1231" t="n">
        <v>0.018989616173196</v>
      </c>
      <c r="K1231" t="n">
        <v>0.5494046061149902</v>
      </c>
      <c r="L1231" t="b">
        <v>1</v>
      </c>
      <c r="M1231" t="b">
        <v>0</v>
      </c>
      <c r="N1231" t="inlineStr">
        <is>
          <t>alt</t>
        </is>
      </c>
      <c r="O1231" t="n">
        <v>-80</v>
      </c>
      <c r="P1231" t="n">
        <v>0.00647</v>
      </c>
      <c r="Q1231" t="n">
        <v>-80</v>
      </c>
      <c r="R1231" t="n">
        <v>0.1492</v>
      </c>
      <c r="S1231">
        <f>IMAGE("https://mitra.stanford.edu/kundaje/oak/projects/neuro-variants/variant_position/credible/roussos_2024/variant_figures/roussos_2024.infant.GLU/rs7145105_count_position.png",4,220,900)</f>
        <v/>
      </c>
      <c r="T1231">
        <f>IMAGE("https://mitra.stanford.edu/kundaje/oak/projects/neuro-variants/variant_position/credible/roussos_2024/variant_figures/roussos_2024.infant.GLU/rs7145105_profile_position.png",4,220,900)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0.00413497569</v>
      </c>
      <c r="G1232" t="n">
        <v>0.7167226804692669</v>
      </c>
      <c r="H1232" t="n">
        <v>0.0059029183949188</v>
      </c>
      <c r="I1232" t="n">
        <v>0.9875642485102548</v>
      </c>
      <c r="J1232" t="n">
        <v>0.0543232875504309</v>
      </c>
      <c r="K1232" t="n">
        <v>0.3306769883052409</v>
      </c>
      <c r="L1232" t="b">
        <v>0</v>
      </c>
      <c r="M1232" t="b">
        <v>0</v>
      </c>
      <c r="N1232" t="inlineStr">
        <is>
          <t>alt</t>
        </is>
      </c>
      <c r="O1232" t="n">
        <v>-85</v>
      </c>
      <c r="P1232" t="n">
        <v>0.010254</v>
      </c>
      <c r="Q1232" t="n">
        <v>100</v>
      </c>
      <c r="R1232" t="n">
        <v>0.05728</v>
      </c>
      <c r="S1232">
        <f>IMAGE("https://mitra.stanford.edu/kundaje/oak/projects/neuro-variants/variant_position/credible/roussos_2024/variant_figures/roussos_2024.infant.GLU/rs12717596_count_position.png",4,220,900)</f>
        <v/>
      </c>
      <c r="T1232">
        <f>IMAGE("https://mitra.stanford.edu/kundaje/oak/projects/neuro-variants/variant_position/credible/roussos_2024/variant_figures/roussos_2024.infant.GLU/rs12717596_profile_position.png",4,220,900)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-0.1085642224</v>
      </c>
      <c r="G1233" t="n">
        <v>0.0501767314822189</v>
      </c>
      <c r="H1233" t="n">
        <v>0.0168841614132011</v>
      </c>
      <c r="I1233" t="n">
        <v>0.287963987920362</v>
      </c>
      <c r="J1233" t="n">
        <v>0.0306587446813201</v>
      </c>
      <c r="K1233" t="n">
        <v>0.4703216500684444</v>
      </c>
      <c r="L1233" t="b">
        <v>0</v>
      </c>
      <c r="M1233" t="b">
        <v>0</v>
      </c>
      <c r="N1233" t="inlineStr">
        <is>
          <t>ref</t>
        </is>
      </c>
      <c r="O1233" t="n">
        <v>100</v>
      </c>
      <c r="P1233" t="n">
        <v>0.003784</v>
      </c>
      <c r="Q1233" t="n">
        <v>80</v>
      </c>
      <c r="R1233" t="n">
        <v>0.0791</v>
      </c>
      <c r="S1233">
        <f>IMAGE("https://mitra.stanford.edu/kundaje/oak/projects/neuro-variants/variant_position/credible/roussos_2024/variant_figures/roussos_2024.infant.GLU/rs7148526_count_position.png",4,220,900)</f>
        <v/>
      </c>
      <c r="T1233">
        <f>IMAGE("https://mitra.stanford.edu/kundaje/oak/projects/neuro-variants/variant_position/credible/roussos_2024/variant_figures/roussos_2024.infant.GLU/rs7148526_profile_position.png",4,220,900)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-0.01133499786</v>
      </c>
      <c r="G1234" t="n">
        <v>0.6246295519886488</v>
      </c>
      <c r="H1234" t="n">
        <v>0.0407049405928712</v>
      </c>
      <c r="I1234" t="n">
        <v>0.0188002497356251</v>
      </c>
      <c r="J1234" t="n">
        <v>0.2073579664454683</v>
      </c>
      <c r="K1234" t="n">
        <v>0.1041561253753953</v>
      </c>
      <c r="L1234" t="b">
        <v>1</v>
      </c>
      <c r="M1234" t="b">
        <v>0</v>
      </c>
      <c r="N1234" t="inlineStr">
        <is>
          <t>ref</t>
        </is>
      </c>
      <c r="O1234" t="n">
        <v>-50</v>
      </c>
      <c r="P1234" t="n">
        <v>0.1214</v>
      </c>
      <c r="Q1234" t="n">
        <v>-90</v>
      </c>
      <c r="R1234" t="n">
        <v>0.2769</v>
      </c>
      <c r="S1234">
        <f>IMAGE("https://mitra.stanford.edu/kundaje/oak/projects/neuro-variants/variant_position/credible/roussos_2024/variant_figures/roussos_2024.infant.GLU/rs3001377_count_position.png",4,220,900)</f>
        <v/>
      </c>
      <c r="T1234">
        <f>IMAGE("https://mitra.stanford.edu/kundaje/oak/projects/neuro-variants/variant_position/credible/roussos_2024/variant_figures/roussos_2024.infant.GLU/rs3001377_profile_position.png",4,220,900)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-0.2563243199999999</v>
      </c>
      <c r="G1235" t="n">
        <v>0.0050225476296524</v>
      </c>
      <c r="H1235" t="n">
        <v>0.035085679798458</v>
      </c>
      <c r="I1235" t="n">
        <v>0.034329419538673</v>
      </c>
      <c r="J1235" t="n">
        <v>0.2466092726911968</v>
      </c>
      <c r="K1235" t="n">
        <v>0.08617565933625811</v>
      </c>
      <c r="L1235" t="b">
        <v>1</v>
      </c>
      <c r="M1235" t="b">
        <v>1</v>
      </c>
      <c r="N1235" t="inlineStr">
        <is>
          <t>ref</t>
        </is>
      </c>
      <c r="O1235" t="n">
        <v>85</v>
      </c>
      <c r="P1235" t="n">
        <v>0.02046</v>
      </c>
      <c r="Q1235" t="n">
        <v>0</v>
      </c>
      <c r="R1235" t="n">
        <v>0</v>
      </c>
      <c r="S1235">
        <f>IMAGE("https://mitra.stanford.edu/kundaje/oak/projects/neuro-variants/variant_position/credible/roussos_2024/variant_figures/roussos_2024.infant.GLU/rs77782646_count_position.png",4,220,900)</f>
        <v/>
      </c>
      <c r="T1235">
        <f>IMAGE("https://mitra.stanford.edu/kundaje/oak/projects/neuro-variants/variant_position/credible/roussos_2024/variant_figures/roussos_2024.infant.GLU/rs77782646_profile_position.png",4,220,900)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-0.0466424938</v>
      </c>
      <c r="G1236" t="n">
        <v>0.1875348341754862</v>
      </c>
      <c r="H1236" t="n">
        <v>0.0334284968303335</v>
      </c>
      <c r="I1236" t="n">
        <v>0.0404456947136766</v>
      </c>
      <c r="J1236" t="n">
        <v>0.1853303644260234</v>
      </c>
      <c r="K1236" t="n">
        <v>0.118004789822686</v>
      </c>
      <c r="L1236" t="b">
        <v>0</v>
      </c>
      <c r="M1236" t="b">
        <v>0</v>
      </c>
      <c r="N1236" t="inlineStr">
        <is>
          <t>ref</t>
        </is>
      </c>
      <c r="O1236" t="n">
        <v>90</v>
      </c>
      <c r="P1236" t="n">
        <v>0.0853</v>
      </c>
      <c r="Q1236" t="n">
        <v>100</v>
      </c>
      <c r="R1236" t="n">
        <v>0.1009</v>
      </c>
      <c r="S1236">
        <f>IMAGE("https://mitra.stanford.edu/kundaje/oak/projects/neuro-variants/variant_position/credible/roussos_2024/variant_figures/roussos_2024.infant.GLU/rs8004742_count_position.png",4,220,900)</f>
        <v/>
      </c>
      <c r="T1236">
        <f>IMAGE("https://mitra.stanford.edu/kundaje/oak/projects/neuro-variants/variant_position/credible/roussos_2024/variant_figures/roussos_2024.infant.GLU/rs8004742_profile_position.png",4,220,900)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-0.01294253972</v>
      </c>
      <c r="G1237" t="n">
        <v>0.5759130815217904</v>
      </c>
      <c r="H1237" t="n">
        <v>0.0429192797066475</v>
      </c>
      <c r="I1237" t="n">
        <v>0.0150110030689547</v>
      </c>
      <c r="J1237" t="n">
        <v>0.179458321391565</v>
      </c>
      <c r="K1237" t="n">
        <v>0.1239059802472117</v>
      </c>
      <c r="L1237" t="b">
        <v>1</v>
      </c>
      <c r="M1237" t="b">
        <v>0</v>
      </c>
      <c r="N1237" t="inlineStr">
        <is>
          <t>ref</t>
        </is>
      </c>
      <c r="O1237" t="n">
        <v>-100</v>
      </c>
      <c r="P1237" t="n">
        <v>0.01614</v>
      </c>
      <c r="Q1237" t="n">
        <v>-75</v>
      </c>
      <c r="R1237" t="n">
        <v>0.1142</v>
      </c>
      <c r="S1237">
        <f>IMAGE("https://mitra.stanford.edu/kundaje/oak/projects/neuro-variants/variant_position/credible/roussos_2024/variant_figures/roussos_2024.infant.GLU/rs146120508_count_position.png",4,220,900)</f>
        <v/>
      </c>
      <c r="T1237">
        <f>IMAGE("https://mitra.stanford.edu/kundaje/oak/projects/neuro-variants/variant_position/credible/roussos_2024/variant_figures/roussos_2024.infant.GLU/rs146120508_profile_position.png",4,220,900)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0.00655585734</v>
      </c>
      <c r="G1238" t="n">
        <v>0.6480481899680776</v>
      </c>
      <c r="H1238" t="n">
        <v>0.0349457995660304</v>
      </c>
      <c r="I1238" t="n">
        <v>0.0341490681957809</v>
      </c>
      <c r="J1238" t="n">
        <v>0.218863952027161</v>
      </c>
      <c r="K1238" t="n">
        <v>0.1020325002138197</v>
      </c>
      <c r="L1238" t="b">
        <v>0</v>
      </c>
      <c r="M1238" t="b">
        <v>0</v>
      </c>
      <c r="N1238" t="inlineStr">
        <is>
          <t>alt</t>
        </is>
      </c>
      <c r="O1238" t="n">
        <v>70</v>
      </c>
      <c r="P1238" t="n">
        <v>0.02371</v>
      </c>
      <c r="Q1238" t="n">
        <v>100</v>
      </c>
      <c r="R1238" t="n">
        <v>0.5356</v>
      </c>
      <c r="S1238">
        <f>IMAGE("https://mitra.stanford.edu/kundaje/oak/projects/neuro-variants/variant_position/credible/roussos_2024/variant_figures/roussos_2024.infant.GLU/rs8004689_count_position.png",4,220,900)</f>
        <v/>
      </c>
      <c r="T1238">
        <f>IMAGE("https://mitra.stanford.edu/kundaje/oak/projects/neuro-variants/variant_position/credible/roussos_2024/variant_figures/roussos_2024.infant.GLU/rs8004689_profile_position.png",4,220,900)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0.0499741388</v>
      </c>
      <c r="G1239" t="n">
        <v>0.1783659236846127</v>
      </c>
      <c r="H1239" t="n">
        <v>0.0263426917848041</v>
      </c>
      <c r="I1239" t="n">
        <v>0.0861281195894868</v>
      </c>
      <c r="J1239" t="n">
        <v>0.2822758438237174</v>
      </c>
      <c r="K1239" t="n">
        <v>0.07493370862318199</v>
      </c>
      <c r="L1239" t="b">
        <v>0</v>
      </c>
      <c r="M1239" t="b">
        <v>0</v>
      </c>
      <c r="N1239" t="inlineStr">
        <is>
          <t>alt</t>
        </is>
      </c>
      <c r="O1239" t="n">
        <v>0</v>
      </c>
      <c r="P1239" t="n">
        <v>0</v>
      </c>
      <c r="Q1239" t="n">
        <v>25</v>
      </c>
      <c r="R1239" t="n">
        <v>0.05664</v>
      </c>
      <c r="S1239">
        <f>IMAGE("https://mitra.stanford.edu/kundaje/oak/projects/neuro-variants/variant_position/credible/roussos_2024/variant_figures/roussos_2024.infant.GLU/rs184858889_count_position.png",4,220,900)</f>
        <v/>
      </c>
      <c r="T1239">
        <f>IMAGE("https://mitra.stanford.edu/kundaje/oak/projects/neuro-variants/variant_position/credible/roussos_2024/variant_figures/roussos_2024.infant.GLU/rs184858889_profile_position.png",4,220,900)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0.0837912222</v>
      </c>
      <c r="G1240" t="n">
        <v>0.0856957978038001</v>
      </c>
      <c r="H1240" t="n">
        <v>0.0138867840882198</v>
      </c>
      <c r="I1240" t="n">
        <v>0.4282053194293053</v>
      </c>
      <c r="J1240" t="n">
        <v>0.0832106086994862</v>
      </c>
      <c r="K1240" t="n">
        <v>0.2390248606751767</v>
      </c>
      <c r="L1240" t="b">
        <v>0</v>
      </c>
      <c r="M1240" t="b">
        <v>0</v>
      </c>
      <c r="N1240" t="inlineStr">
        <is>
          <t>alt</t>
        </is>
      </c>
      <c r="O1240" t="n">
        <v>-45</v>
      </c>
      <c r="P1240" t="n">
        <v>0.0327</v>
      </c>
      <c r="Q1240" t="n">
        <v>-95</v>
      </c>
      <c r="R1240" t="n">
        <v>0.0606</v>
      </c>
      <c r="S1240">
        <f>IMAGE("https://mitra.stanford.edu/kundaje/oak/projects/neuro-variants/variant_position/credible/roussos_2024/variant_figures/roussos_2024.infant.GLU/rs4144366_count_position.png",4,220,900)</f>
        <v/>
      </c>
      <c r="T1240">
        <f>IMAGE("https://mitra.stanford.edu/kundaje/oak/projects/neuro-variants/variant_position/credible/roussos_2024/variant_figures/roussos_2024.infant.GLU/rs4144366_profile_position.png",4,220,900)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0.0233297530399999</v>
      </c>
      <c r="G1241" t="n">
        <v>0.3439468351749304</v>
      </c>
      <c r="H1241" t="n">
        <v>0.0170552569309754</v>
      </c>
      <c r="I1241" t="n">
        <v>0.2697852514135942</v>
      </c>
      <c r="J1241" t="n">
        <v>0.0821942723605017</v>
      </c>
      <c r="K1241" t="n">
        <v>0.241343189111607</v>
      </c>
      <c r="L1241" t="b">
        <v>0</v>
      </c>
      <c r="M1241" t="b">
        <v>0</v>
      </c>
      <c r="N1241" t="inlineStr">
        <is>
          <t>alt</t>
        </is>
      </c>
      <c r="O1241" t="n">
        <v>-100</v>
      </c>
      <c r="P1241" t="n">
        <v>0.009674</v>
      </c>
      <c r="Q1241" t="n">
        <v>75</v>
      </c>
      <c r="R1241" t="n">
        <v>0.05704</v>
      </c>
      <c r="S1241">
        <f>IMAGE("https://mitra.stanford.edu/kundaje/oak/projects/neuro-variants/variant_position/credible/roussos_2024/variant_figures/roussos_2024.infant.GLU/rs186989036_count_position.png",4,220,900)</f>
        <v/>
      </c>
      <c r="T1241">
        <f>IMAGE("https://mitra.stanford.edu/kundaje/oak/projects/neuro-variants/variant_position/credible/roussos_2024/variant_figures/roussos_2024.infant.GLU/rs186989036_profile_position.png",4,220,900)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-0.0377225982</v>
      </c>
      <c r="G1242" t="n">
        <v>0.2555438954229283</v>
      </c>
      <c r="H1242" t="n">
        <v>0.0245477113943996</v>
      </c>
      <c r="I1242" t="n">
        <v>0.1073554797516657</v>
      </c>
      <c r="J1242" t="n">
        <v>0.2362816640578495</v>
      </c>
      <c r="K1242" t="n">
        <v>0.0913729253235696</v>
      </c>
      <c r="L1242" t="b">
        <v>0</v>
      </c>
      <c r="M1242" t="b">
        <v>0</v>
      </c>
      <c r="N1242" t="inlineStr">
        <is>
          <t>ref</t>
        </is>
      </c>
      <c r="O1242" t="n">
        <v>100</v>
      </c>
      <c r="P1242" t="n">
        <v>0.06174</v>
      </c>
      <c r="Q1242" t="n">
        <v>100</v>
      </c>
      <c r="R1242" t="n">
        <v>0.2563</v>
      </c>
      <c r="S1242">
        <f>IMAGE("https://mitra.stanford.edu/kundaje/oak/projects/neuro-variants/variant_position/credible/roussos_2024/variant_figures/roussos_2024.infant.GLU/rs67378160_count_position.png",4,220,900)</f>
        <v/>
      </c>
      <c r="T1242">
        <f>IMAGE("https://mitra.stanford.edu/kundaje/oak/projects/neuro-variants/variant_position/credible/roussos_2024/variant_figures/roussos_2024.infant.GLU/rs67378160_profile_position.png",4,220,900)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0.0148018827999999</v>
      </c>
      <c r="G1243" t="n">
        <v>0.4572869950312157</v>
      </c>
      <c r="H1243" t="n">
        <v>0.028332019268168</v>
      </c>
      <c r="I1243" t="n">
        <v>0.0690185256413422</v>
      </c>
      <c r="J1243" t="n">
        <v>0.0298496439515861</v>
      </c>
      <c r="K1243" t="n">
        <v>0.4629084462278884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0.002502</v>
      </c>
      <c r="Q1243" t="n">
        <v>-75</v>
      </c>
      <c r="R1243" t="n">
        <v>0.0664</v>
      </c>
      <c r="S1243">
        <f>IMAGE("https://mitra.stanford.edu/kundaje/oak/projects/neuro-variants/variant_position/credible/roussos_2024/variant_figures/roussos_2024.infant.GLU/rs7146851_count_position.png",4,220,900)</f>
        <v/>
      </c>
      <c r="T1243">
        <f>IMAGE("https://mitra.stanford.edu/kundaje/oak/projects/neuro-variants/variant_position/credible/roussos_2024/variant_figures/roussos_2024.infant.GLU/rs7146851_profile_position.png",4,220,900)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0.0137568966999999</v>
      </c>
      <c r="G1244" t="n">
        <v>0.5422614753659633</v>
      </c>
      <c r="H1244" t="n">
        <v>0.0465971352151979</v>
      </c>
      <c r="I1244" t="n">
        <v>0.0105104914139319</v>
      </c>
      <c r="J1244" t="n">
        <v>0.0013690778015387</v>
      </c>
      <c r="K1244" t="n">
        <v>0.8728607409237671</v>
      </c>
      <c r="L1244" t="b">
        <v>0</v>
      </c>
      <c r="M1244" t="b">
        <v>0</v>
      </c>
      <c r="N1244" t="inlineStr">
        <is>
          <t>alt</t>
        </is>
      </c>
      <c r="O1244" t="n">
        <v>-95</v>
      </c>
      <c r="P1244" t="n">
        <v>0.00873</v>
      </c>
      <c r="Q1244" t="n">
        <v>50</v>
      </c>
      <c r="R1244" t="n">
        <v>0.03894</v>
      </c>
      <c r="S1244">
        <f>IMAGE("https://mitra.stanford.edu/kundaje/oak/projects/neuro-variants/variant_position/credible/roussos_2024/variant_figures/roussos_2024.infant.GLU/rs17129021_count_position.png",4,220,900)</f>
        <v/>
      </c>
      <c r="T1244">
        <f>IMAGE("https://mitra.stanford.edu/kundaje/oak/projects/neuro-variants/variant_position/credible/roussos_2024/variant_figures/roussos_2024.infant.GLU/rs17129021_profile_position.png",4,220,900)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0.00105729564</v>
      </c>
      <c r="G1245" t="n">
        <v>0.8690808742660131</v>
      </c>
      <c r="H1245" t="n">
        <v>0.0057111557066176</v>
      </c>
      <c r="I1245" t="n">
        <v>0.99326466256252</v>
      </c>
      <c r="J1245" t="n">
        <v>0.0337783019907845</v>
      </c>
      <c r="K1245" t="n">
        <v>0.4301296920229268</v>
      </c>
      <c r="L1245" t="b">
        <v>0</v>
      </c>
      <c r="M1245" t="b">
        <v>0</v>
      </c>
      <c r="N1245" t="inlineStr">
        <is>
          <t>alt</t>
        </is>
      </c>
      <c r="O1245" t="n">
        <v>60</v>
      </c>
      <c r="P1245" t="n">
        <v>0.01082</v>
      </c>
      <c r="Q1245" t="n">
        <v>25</v>
      </c>
      <c r="R1245" t="n">
        <v>0.03073</v>
      </c>
      <c r="S1245">
        <f>IMAGE("https://mitra.stanford.edu/kundaje/oak/projects/neuro-variants/variant_position/credible/roussos_2024/variant_figures/roussos_2024.infant.GLU/rs12591010_count_position.png",4,220,900)</f>
        <v/>
      </c>
      <c r="T1245">
        <f>IMAGE("https://mitra.stanford.edu/kundaje/oak/projects/neuro-variants/variant_position/credible/roussos_2024/variant_figures/roussos_2024.infant.GLU/rs12591010_profile_position.png",4,220,900)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-0.0137667654</v>
      </c>
      <c r="G1246" t="n">
        <v>0.5141525631871775</v>
      </c>
      <c r="H1246" t="n">
        <v>0.0089064092346201</v>
      </c>
      <c r="I1246" t="n">
        <v>0.8438157331689071</v>
      </c>
      <c r="J1246" t="n">
        <v>0.0479651226878899</v>
      </c>
      <c r="K1246" t="n">
        <v>0.3517071996888033</v>
      </c>
      <c r="L1246" t="b">
        <v>0</v>
      </c>
      <c r="M1246" t="b">
        <v>0</v>
      </c>
      <c r="N1246" t="inlineStr">
        <is>
          <t>ref</t>
        </is>
      </c>
      <c r="O1246" t="n">
        <v>100</v>
      </c>
      <c r="P1246" t="n">
        <v>0.02518</v>
      </c>
      <c r="Q1246" t="n">
        <v>-90</v>
      </c>
      <c r="R1246" t="n">
        <v>0.0486</v>
      </c>
      <c r="S1246">
        <f>IMAGE("https://mitra.stanford.edu/kundaje/oak/projects/neuro-variants/variant_position/credible/roussos_2024/variant_figures/roussos_2024.infant.GLU/rs942065_count_position.png",4,220,900)</f>
        <v/>
      </c>
      <c r="T1246">
        <f>IMAGE("https://mitra.stanford.edu/kundaje/oak/projects/neuro-variants/variant_position/credible/roussos_2024/variant_figures/roussos_2024.infant.GLU/rs942065_profile_position.png",4,220,900)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0.1019990643999999</v>
      </c>
      <c r="G1247" t="n">
        <v>0.0515238248440056</v>
      </c>
      <c r="H1247" t="n">
        <v>0.0138705207451391</v>
      </c>
      <c r="I1247" t="n">
        <v>0.4278196311499486</v>
      </c>
      <c r="J1247" t="n">
        <v>0.040793447827333</v>
      </c>
      <c r="K1247" t="n">
        <v>0.3837080149875499</v>
      </c>
      <c r="L1247" t="b">
        <v>0</v>
      </c>
      <c r="M1247" t="b">
        <v>0</v>
      </c>
      <c r="N1247" t="inlineStr">
        <is>
          <t>alt</t>
        </is>
      </c>
      <c r="O1247" t="n">
        <v>-20</v>
      </c>
      <c r="P1247" t="n">
        <v>0.001751</v>
      </c>
      <c r="Q1247" t="n">
        <v>20</v>
      </c>
      <c r="R1247" t="n">
        <v>0.03278</v>
      </c>
      <c r="S1247">
        <f>IMAGE("https://mitra.stanford.edu/kundaje/oak/projects/neuro-variants/variant_position/credible/roussos_2024/variant_figures/roussos_2024.infant.GLU/rs947191_count_position.png",4,220,900)</f>
        <v/>
      </c>
      <c r="T1247">
        <f>IMAGE("https://mitra.stanford.edu/kundaje/oak/projects/neuro-variants/variant_position/credible/roussos_2024/variant_figures/roussos_2024.infant.GLU/rs947191_profile_position.png",4,220,900)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0.07323580859999999</v>
      </c>
      <c r="G1248" t="n">
        <v>0.0982319722029345</v>
      </c>
      <c r="H1248" t="n">
        <v>0.0351909053838983</v>
      </c>
      <c r="I1248" t="n">
        <v>0.0330543749840159</v>
      </c>
      <c r="J1248" t="n">
        <v>0.2607663308273992</v>
      </c>
      <c r="K1248" t="n">
        <v>0.08134023970338961</v>
      </c>
      <c r="L1248" t="b">
        <v>0</v>
      </c>
      <c r="M1248" t="b">
        <v>0</v>
      </c>
      <c r="N1248" t="inlineStr">
        <is>
          <t>alt</t>
        </is>
      </c>
      <c r="O1248" t="n">
        <v>-100</v>
      </c>
      <c r="P1248" t="n">
        <v>0.02083</v>
      </c>
      <c r="Q1248" t="n">
        <v>10</v>
      </c>
      <c r="R1248" t="n">
        <v>0.02832</v>
      </c>
      <c r="S1248">
        <f>IMAGE("https://mitra.stanford.edu/kundaje/oak/projects/neuro-variants/variant_position/credible/roussos_2024/variant_figures/roussos_2024.infant.GLU/rs2614457_count_position.png",4,220,900)</f>
        <v/>
      </c>
      <c r="T1248">
        <f>IMAGE("https://mitra.stanford.edu/kundaje/oak/projects/neuro-variants/variant_position/credible/roussos_2024/variant_figures/roussos_2024.infant.GLU/rs2614457_profile_position.png",4,220,900)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0.0273679181399999</v>
      </c>
      <c r="G1249" t="n">
        <v>0.3561747431203608</v>
      </c>
      <c r="H1249" t="n">
        <v>0.0104581480922394</v>
      </c>
      <c r="I1249" t="n">
        <v>0.6962468803447774</v>
      </c>
      <c r="J1249" t="n">
        <v>0.2290229061487245</v>
      </c>
      <c r="K1249" t="n">
        <v>0.0950932798460823</v>
      </c>
      <c r="L1249" t="b">
        <v>0</v>
      </c>
      <c r="M1249" t="b">
        <v>0</v>
      </c>
      <c r="N1249" t="inlineStr">
        <is>
          <t>alt</t>
        </is>
      </c>
      <c r="O1249" t="n">
        <v>40</v>
      </c>
      <c r="P1249" t="n">
        <v>0.00908</v>
      </c>
      <c r="Q1249" t="n">
        <v>-70</v>
      </c>
      <c r="R1249" t="n">
        <v>0.06884999999999999</v>
      </c>
      <c r="S1249">
        <f>IMAGE("https://mitra.stanford.edu/kundaje/oak/projects/neuro-variants/variant_position/credible/roussos_2024/variant_figures/roussos_2024.infant.GLU/rs2693695_count_position.png",4,220,900)</f>
        <v/>
      </c>
      <c r="T1249">
        <f>IMAGE("https://mitra.stanford.edu/kundaje/oak/projects/neuro-variants/variant_position/credible/roussos_2024/variant_figures/roussos_2024.infant.GLU/rs2693695_profile_position.png",4,220,900)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-0.084960092</v>
      </c>
      <c r="G1250" t="n">
        <v>0.0703052890345256</v>
      </c>
      <c r="H1250" t="n">
        <v>0.0221548512818811</v>
      </c>
      <c r="I1250" t="n">
        <v>0.1411110322320521</v>
      </c>
      <c r="J1250" t="n">
        <v>0.7966897418373421</v>
      </c>
      <c r="K1250" t="n">
        <v>0.008373031533542</v>
      </c>
      <c r="L1250" t="b">
        <v>0</v>
      </c>
      <c r="M1250" t="b">
        <v>0</v>
      </c>
      <c r="N1250" t="inlineStr">
        <is>
          <t>ref</t>
        </is>
      </c>
      <c r="O1250" t="n">
        <v>100</v>
      </c>
      <c r="P1250" t="n">
        <v>0.003664</v>
      </c>
      <c r="Q1250" t="n">
        <v>30</v>
      </c>
      <c r="R1250" t="n">
        <v>0.0228</v>
      </c>
      <c r="S1250">
        <f>IMAGE("https://mitra.stanford.edu/kundaje/oak/projects/neuro-variants/variant_position/credible/roussos_2024/variant_figures/roussos_2024.infant.GLU/rs12895055_count_position.png",4,220,900)</f>
        <v/>
      </c>
      <c r="T1250">
        <f>IMAGE("https://mitra.stanford.edu/kundaje/oak/projects/neuro-variants/variant_position/credible/roussos_2024/variant_figures/roussos_2024.infant.GLU/rs12895055_profile_position.png",4,220,900)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0.0007019396</v>
      </c>
      <c r="G1251" t="n">
        <v>0.4936959989307597</v>
      </c>
      <c r="H1251" t="n">
        <v>0.0326529137344494</v>
      </c>
      <c r="I1251" t="n">
        <v>0.0433768112877238</v>
      </c>
      <c r="J1251" t="n">
        <v>0.382610948213144</v>
      </c>
      <c r="K1251" t="n">
        <v>0.0487368235453017</v>
      </c>
      <c r="L1251" t="b">
        <v>0</v>
      </c>
      <c r="M1251" t="b">
        <v>0</v>
      </c>
      <c r="N1251" t="inlineStr">
        <is>
          <t>alt</t>
        </is>
      </c>
      <c r="O1251" t="n">
        <v>85</v>
      </c>
      <c r="P1251" t="n">
        <v>0.01065</v>
      </c>
      <c r="Q1251" t="n">
        <v>90</v>
      </c>
      <c r="R1251" t="n">
        <v>0.2229</v>
      </c>
      <c r="S1251">
        <f>IMAGE("https://mitra.stanford.edu/kundaje/oak/projects/neuro-variants/variant_position/credible/roussos_2024/variant_figures/roussos_2024.infant.GLU/rs7147531_count_position.png",4,220,900)</f>
        <v/>
      </c>
      <c r="T1251">
        <f>IMAGE("https://mitra.stanford.edu/kundaje/oak/projects/neuro-variants/variant_position/credible/roussos_2024/variant_figures/roussos_2024.infant.GLU/rs7147531_profile_position.png",4,220,900)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-0.060478514</v>
      </c>
      <c r="G1252" t="n">
        <v>0.1323784608233292</v>
      </c>
      <c r="H1252" t="n">
        <v>0.0109044079696703</v>
      </c>
      <c r="I1252" t="n">
        <v>0.6416871638466737</v>
      </c>
      <c r="J1252" t="n">
        <v>0.0222833395797966</v>
      </c>
      <c r="K1252" t="n">
        <v>0.5137092275288807</v>
      </c>
      <c r="L1252" t="b">
        <v>0</v>
      </c>
      <c r="M1252" t="b">
        <v>0</v>
      </c>
      <c r="N1252" t="inlineStr">
        <is>
          <t>ref</t>
        </is>
      </c>
      <c r="O1252" t="n">
        <v>-90</v>
      </c>
      <c r="P1252" t="n">
        <v>0.004364</v>
      </c>
      <c r="Q1252" t="n">
        <v>80</v>
      </c>
      <c r="R1252" t="n">
        <v>0.1252</v>
      </c>
      <c r="S1252">
        <f>IMAGE("https://mitra.stanford.edu/kundaje/oak/projects/neuro-variants/variant_position/credible/roussos_2024/variant_figures/roussos_2024.infant.GLU/rs2403102_count_position.png",4,220,900)</f>
        <v/>
      </c>
      <c r="T1252">
        <f>IMAGE("https://mitra.stanford.edu/kundaje/oak/projects/neuro-variants/variant_position/credible/roussos_2024/variant_figures/roussos_2024.infant.GLU/rs2403102_profile_position.png",4,220,900)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0.0078324178</v>
      </c>
      <c r="G1253" t="n">
        <v>0.4011858569189468</v>
      </c>
      <c r="H1253" t="n">
        <v>0.0084621035003255</v>
      </c>
      <c r="I1253" t="n">
        <v>0.7930398200545065</v>
      </c>
      <c r="J1253" t="n">
        <v>0.1810114861438743</v>
      </c>
      <c r="K1253" t="n">
        <v>0.1217685057083271</v>
      </c>
      <c r="L1253" t="b">
        <v>0</v>
      </c>
      <c r="M1253" t="b">
        <v>0</v>
      </c>
      <c r="N1253" t="inlineStr">
        <is>
          <t>alt</t>
        </is>
      </c>
      <c r="O1253" t="n">
        <v>100</v>
      </c>
      <c r="P1253" t="n">
        <v>0.02762</v>
      </c>
      <c r="Q1253" t="n">
        <v>100</v>
      </c>
      <c r="R1253" t="n">
        <v>0.2544</v>
      </c>
      <c r="S1253">
        <f>IMAGE("https://mitra.stanford.edu/kundaje/oak/projects/neuro-variants/variant_position/credible/roussos_2024/variant_figures/roussos_2024.infant.GLU/rs1131877_count_position.png",4,220,900)</f>
        <v/>
      </c>
      <c r="T1253">
        <f>IMAGE("https://mitra.stanford.edu/kundaje/oak/projects/neuro-variants/variant_position/credible/roussos_2024/variant_figures/roussos_2024.infant.GLU/rs1131877_profile_position.png",4,220,900)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-0.06614785547999991</v>
      </c>
      <c r="G1254" t="n">
        <v>0.1149247728524862</v>
      </c>
      <c r="H1254" t="n">
        <v>0.0126553081977829</v>
      </c>
      <c r="I1254" t="n">
        <v>0.5084527005428496</v>
      </c>
      <c r="J1254" t="n">
        <v>0.0819793205317577</v>
      </c>
      <c r="K1254" t="n">
        <v>0.2446062696229928</v>
      </c>
      <c r="L1254" t="b">
        <v>0</v>
      </c>
      <c r="M1254" t="b">
        <v>0</v>
      </c>
      <c r="N1254" t="inlineStr">
        <is>
          <t>ref</t>
        </is>
      </c>
      <c r="O1254" t="n">
        <v>-70</v>
      </c>
      <c r="P1254" t="n">
        <v>0.04614</v>
      </c>
      <c r="Q1254" t="n">
        <v>-70</v>
      </c>
      <c r="R1254" t="n">
        <v>0.12036</v>
      </c>
      <c r="S1254">
        <f>IMAGE("https://mitra.stanford.edu/kundaje/oak/projects/neuro-variants/variant_position/credible/roussos_2024/variant_figures/roussos_2024.infant.GLU/rs8007609_count_position.png",4,220,900)</f>
        <v/>
      </c>
      <c r="T1254">
        <f>IMAGE("https://mitra.stanford.edu/kundaje/oak/projects/neuro-variants/variant_position/credible/roussos_2024/variant_figures/roussos_2024.infant.GLU/rs8007609_profile_position.png",4,220,900)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0.009163546119999999</v>
      </c>
      <c r="G1255" t="n">
        <v>0.6530242756260427</v>
      </c>
      <c r="H1255" t="n">
        <v>0.0059140991458322</v>
      </c>
      <c r="I1255" t="n">
        <v>0.9910290777510397</v>
      </c>
      <c r="J1255" t="n">
        <v>0.0075155977865472</v>
      </c>
      <c r="K1255" t="n">
        <v>0.7024982698954786</v>
      </c>
      <c r="L1255" t="b">
        <v>0</v>
      </c>
      <c r="M1255" t="b">
        <v>0</v>
      </c>
      <c r="N1255" t="inlineStr">
        <is>
          <t>alt</t>
        </is>
      </c>
      <c r="O1255" t="n">
        <v>60</v>
      </c>
      <c r="P1255" t="n">
        <v>0.1835</v>
      </c>
      <c r="Q1255" t="n">
        <v>55</v>
      </c>
      <c r="R1255" t="n">
        <v>0.0663</v>
      </c>
      <c r="S1255">
        <f>IMAGE("https://mitra.stanford.edu/kundaje/oak/projects/neuro-variants/variant_position/credible/roussos_2024/variant_figures/roussos_2024.infant.GLU/rs58026845_count_position.png",4,220,900)</f>
        <v/>
      </c>
      <c r="T1255">
        <f>IMAGE("https://mitra.stanford.edu/kundaje/oak/projects/neuro-variants/variant_position/credible/roussos_2024/variant_figures/roussos_2024.infant.GLU/rs58026845_profile_position.png",4,220,900)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-0.0049845453</v>
      </c>
      <c r="G1256" t="n">
        <v>0.318110619787908</v>
      </c>
      <c r="H1256" t="n">
        <v>0.0133683038735358</v>
      </c>
      <c r="I1256" t="n">
        <v>0.4569694031185149</v>
      </c>
      <c r="J1256" t="n">
        <v>0.0585396503450251</v>
      </c>
      <c r="K1256" t="n">
        <v>0.3081858680696665</v>
      </c>
      <c r="L1256" t="b">
        <v>0</v>
      </c>
      <c r="M1256" t="b">
        <v>0</v>
      </c>
      <c r="N1256" t="inlineStr">
        <is>
          <t>ref</t>
        </is>
      </c>
      <c r="O1256" t="n">
        <v>20</v>
      </c>
      <c r="P1256" t="n">
        <v>0.003845</v>
      </c>
      <c r="Q1256" t="n">
        <v>90</v>
      </c>
      <c r="R1256" t="n">
        <v>0.02557</v>
      </c>
      <c r="S1256">
        <f>IMAGE("https://mitra.stanford.edu/kundaje/oak/projects/neuro-variants/variant_position/credible/roussos_2024/variant_figures/roussos_2024.infant.GLU/rs8008665_count_position.png",4,220,900)</f>
        <v/>
      </c>
      <c r="T1256">
        <f>IMAGE("https://mitra.stanford.edu/kundaje/oak/projects/neuro-variants/variant_position/credible/roussos_2024/variant_figures/roussos_2024.infant.GLU/rs8008665_profile_position.png",4,220,900)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0.00940519162</v>
      </c>
      <c r="G1257" t="n">
        <v>0.5393974467568062</v>
      </c>
      <c r="H1257" t="n">
        <v>0.008613013243150501</v>
      </c>
      <c r="I1257" t="n">
        <v>0.861231796694261</v>
      </c>
      <c r="J1257" t="n">
        <v>0.0149154522806939</v>
      </c>
      <c r="K1257" t="n">
        <v>0.6383514212387666</v>
      </c>
      <c r="L1257" t="b">
        <v>0</v>
      </c>
      <c r="M1257" t="b">
        <v>0</v>
      </c>
      <c r="N1257" t="inlineStr">
        <is>
          <t>alt</t>
        </is>
      </c>
      <c r="O1257" t="n">
        <v>95</v>
      </c>
      <c r="P1257" t="n">
        <v>0.01112</v>
      </c>
      <c r="Q1257" t="n">
        <v>50</v>
      </c>
      <c r="R1257" t="n">
        <v>0.0864</v>
      </c>
      <c r="S1257">
        <f>IMAGE("https://mitra.stanford.edu/kundaje/oak/projects/neuro-variants/variant_position/credible/roussos_2024/variant_figures/roussos_2024.infant.GLU/rs17101455_count_position.png",4,220,900)</f>
        <v/>
      </c>
      <c r="T1257">
        <f>IMAGE("https://mitra.stanford.edu/kundaje/oak/projects/neuro-variants/variant_position/credible/roussos_2024/variant_figures/roussos_2024.infant.GLU/rs17101455_profile_position.png",4,220,900)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-0.031971498</v>
      </c>
      <c r="G1258" t="n">
        <v>0.3040649589111147</v>
      </c>
      <c r="H1258" t="n">
        <v>0.0081776163892397</v>
      </c>
      <c r="I1258" t="n">
        <v>0.8960777792994251</v>
      </c>
      <c r="J1258" t="n">
        <v>0.091317048435812</v>
      </c>
      <c r="K1258" t="n">
        <v>0.2260898426943205</v>
      </c>
      <c r="L1258" t="b">
        <v>0</v>
      </c>
      <c r="M1258" t="b">
        <v>0</v>
      </c>
      <c r="N1258" t="inlineStr">
        <is>
          <t>ref</t>
        </is>
      </c>
      <c r="O1258" t="n">
        <v>60</v>
      </c>
      <c r="P1258" t="n">
        <v>0.007187</v>
      </c>
      <c r="Q1258" t="n">
        <v>-100</v>
      </c>
      <c r="R1258" t="n">
        <v>0.1345</v>
      </c>
      <c r="S1258">
        <f>IMAGE("https://mitra.stanford.edu/kundaje/oak/projects/neuro-variants/variant_position/credible/roussos_2024/variant_figures/roussos_2024.infant.GLU/rs7145682_count_position.png",4,220,900)</f>
        <v/>
      </c>
      <c r="T1258">
        <f>IMAGE("https://mitra.stanford.edu/kundaje/oak/projects/neuro-variants/variant_position/credible/roussos_2024/variant_figures/roussos_2024.infant.GLU/rs7145682_profile_position.png",4,220,900)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0.0024919734</v>
      </c>
      <c r="G1259" t="n">
        <v>0.8303894072355988</v>
      </c>
      <c r="H1259" t="n">
        <v>0.0076344873189322</v>
      </c>
      <c r="I1259" t="n">
        <v>0.9326866965887176</v>
      </c>
      <c r="J1259" t="n">
        <v>0.1047002799885358</v>
      </c>
      <c r="K1259" t="n">
        <v>0.2078320074629518</v>
      </c>
      <c r="L1259" t="b">
        <v>0</v>
      </c>
      <c r="M1259" t="b">
        <v>0</v>
      </c>
      <c r="N1259" t="inlineStr">
        <is>
          <t>alt</t>
        </is>
      </c>
      <c r="O1259" t="n">
        <v>-40</v>
      </c>
      <c r="P1259" t="n">
        <v>0.005898</v>
      </c>
      <c r="Q1259" t="n">
        <v>40</v>
      </c>
      <c r="R1259" t="n">
        <v>0.01703</v>
      </c>
      <c r="S1259">
        <f>IMAGE("https://mitra.stanford.edu/kundaje/oak/projects/neuro-variants/variant_position/credible/roussos_2024/variant_figures/roussos_2024.infant.GLU/rs7150297_count_position.png",4,220,900)</f>
        <v/>
      </c>
      <c r="T1259">
        <f>IMAGE("https://mitra.stanford.edu/kundaje/oak/projects/neuro-variants/variant_position/credible/roussos_2024/variant_figures/roussos_2024.infant.GLU/rs7150297_profile_position.png",4,220,900)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-0.0143614021399999</v>
      </c>
      <c r="G1260" t="n">
        <v>0.5501375037267728</v>
      </c>
      <c r="H1260" t="n">
        <v>0.0108258435277205</v>
      </c>
      <c r="I1260" t="n">
        <v>0.6645175160818673</v>
      </c>
      <c r="J1260" t="n">
        <v>0.08923697612381221</v>
      </c>
      <c r="K1260" t="n">
        <v>0.2356322883012243</v>
      </c>
      <c r="L1260" t="b">
        <v>0</v>
      </c>
      <c r="M1260" t="b">
        <v>0</v>
      </c>
      <c r="N1260" t="inlineStr">
        <is>
          <t>ref</t>
        </is>
      </c>
      <c r="O1260" t="n">
        <v>55</v>
      </c>
      <c r="P1260" t="n">
        <v>0.005035</v>
      </c>
      <c r="Q1260" t="n">
        <v>-40</v>
      </c>
      <c r="R1260" t="n">
        <v>0.08154</v>
      </c>
      <c r="S1260">
        <f>IMAGE("https://mitra.stanford.edu/kundaje/oak/projects/neuro-variants/variant_position/credible/roussos_2024/variant_figures/roussos_2024.infant.GLU/rs72708820_count_position.png",4,220,900)</f>
        <v/>
      </c>
      <c r="T1260">
        <f>IMAGE("https://mitra.stanford.edu/kundaje/oak/projects/neuro-variants/variant_position/credible/roussos_2024/variant_figures/roussos_2024.infant.GLU/rs72708820_profile_position.png",4,220,900)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-0.0256268828</v>
      </c>
      <c r="G1261" t="n">
        <v>0.3694528836099897</v>
      </c>
      <c r="H1261" t="n">
        <v>0.0073647995839546</v>
      </c>
      <c r="I1261" t="n">
        <v>0.9387192435056728</v>
      </c>
      <c r="J1261" t="n">
        <v>0.0043750964527436</v>
      </c>
      <c r="K1261" t="n">
        <v>0.7643416569863763</v>
      </c>
      <c r="L1261" t="b">
        <v>0</v>
      </c>
      <c r="M1261" t="b">
        <v>0</v>
      </c>
      <c r="N1261" t="inlineStr">
        <is>
          <t>ref</t>
        </is>
      </c>
      <c r="O1261" t="n">
        <v>-35</v>
      </c>
      <c r="P1261" t="n">
        <v>0.0042</v>
      </c>
      <c r="Q1261" t="n">
        <v>-95</v>
      </c>
      <c r="R1261" t="n">
        <v>0.03394</v>
      </c>
      <c r="S1261">
        <f>IMAGE("https://mitra.stanford.edu/kundaje/oak/projects/neuro-variants/variant_position/credible/roussos_2024/variant_figures/roussos_2024.infant.GLU/rs11850831_count_position.png",4,220,900)</f>
        <v/>
      </c>
      <c r="T1261">
        <f>IMAGE("https://mitra.stanford.edu/kundaje/oak/projects/neuro-variants/variant_position/credible/roussos_2024/variant_figures/roussos_2024.infant.GLU/rs11850831_profile_position.png",4,220,900)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-0.0859620998</v>
      </c>
      <c r="G1262" t="n">
        <v>0.0692443023297068</v>
      </c>
      <c r="H1262" t="n">
        <v>0.0201370635537998</v>
      </c>
      <c r="I1262" t="n">
        <v>0.1797881977232935</v>
      </c>
      <c r="J1262" t="n">
        <v>0.1039914901122158</v>
      </c>
      <c r="K1262" t="n">
        <v>0.2004992580415615</v>
      </c>
      <c r="L1262" t="b">
        <v>0</v>
      </c>
      <c r="M1262" t="b">
        <v>0</v>
      </c>
      <c r="N1262" t="inlineStr">
        <is>
          <t>ref</t>
        </is>
      </c>
      <c r="O1262" t="n">
        <v>-100</v>
      </c>
      <c r="P1262" t="n">
        <v>0.06900000000000001</v>
      </c>
      <c r="Q1262" t="n">
        <v>-30</v>
      </c>
      <c r="R1262" t="n">
        <v>0.05396</v>
      </c>
      <c r="S1262">
        <f>IMAGE("https://mitra.stanford.edu/kundaje/oak/projects/neuro-variants/variant_position/credible/roussos_2024/variant_figures/roussos_2024.infant.GLU/rs8007383_count_position.png",4,220,900)</f>
        <v/>
      </c>
      <c r="T1262">
        <f>IMAGE("https://mitra.stanford.edu/kundaje/oak/projects/neuro-variants/variant_position/credible/roussos_2024/variant_figures/roussos_2024.infant.GLU/rs8007383_profile_position.png",4,220,900)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0.0148484466799999</v>
      </c>
      <c r="G1263" t="n">
        <v>0.5393910889578333</v>
      </c>
      <c r="H1263" t="n">
        <v>0.0153182746889716</v>
      </c>
      <c r="I1263" t="n">
        <v>0.3459209632372684</v>
      </c>
      <c r="J1263" t="n">
        <v>0.0388346303930862</v>
      </c>
      <c r="K1263" t="n">
        <v>0.4112818627491793</v>
      </c>
      <c r="L1263" t="b">
        <v>0</v>
      </c>
      <c r="M1263" t="b">
        <v>0</v>
      </c>
      <c r="N1263" t="inlineStr">
        <is>
          <t>alt</t>
        </is>
      </c>
      <c r="O1263" t="n">
        <v>-35</v>
      </c>
      <c r="P1263" t="n">
        <v>0.00482</v>
      </c>
      <c r="Q1263" t="n">
        <v>-10</v>
      </c>
      <c r="R1263" t="n">
        <v>0.0108</v>
      </c>
      <c r="S1263">
        <f>IMAGE("https://mitra.stanford.edu/kundaje/oak/projects/neuro-variants/variant_position/credible/roussos_2024/variant_figures/roussos_2024.infant.GLU/rs12432904_count_position.png",4,220,900)</f>
        <v/>
      </c>
      <c r="T1263">
        <f>IMAGE("https://mitra.stanford.edu/kundaje/oak/projects/neuro-variants/variant_position/credible/roussos_2024/variant_figures/roussos_2024.infant.GLU/rs12432904_profile_position.png",4,220,900)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-0.0608069459999999</v>
      </c>
      <c r="G1264" t="n">
        <v>0.1294339058872901</v>
      </c>
      <c r="H1264" t="n">
        <v>0.0146015181157065</v>
      </c>
      <c r="I1264" t="n">
        <v>0.3841257874827997</v>
      </c>
      <c r="J1264" t="n">
        <v>0.1115313388743137</v>
      </c>
      <c r="K1264" t="n">
        <v>0.1949022086778959</v>
      </c>
      <c r="L1264" t="b">
        <v>0</v>
      </c>
      <c r="M1264" t="b">
        <v>0</v>
      </c>
      <c r="N1264" t="inlineStr">
        <is>
          <t>ref</t>
        </is>
      </c>
      <c r="O1264" t="n">
        <v>-15</v>
      </c>
      <c r="P1264" t="n">
        <v>0.001358</v>
      </c>
      <c r="Q1264" t="n">
        <v>90</v>
      </c>
      <c r="R1264" t="n">
        <v>0.2532</v>
      </c>
      <c r="S1264">
        <f>IMAGE("https://mitra.stanford.edu/kundaje/oak/projects/neuro-variants/variant_position/credible/roussos_2024/variant_figures/roussos_2024.infant.GLU/rs12894729_count_position.png",4,220,900)</f>
        <v/>
      </c>
      <c r="T1264">
        <f>IMAGE("https://mitra.stanford.edu/kundaje/oak/projects/neuro-variants/variant_position/credible/roussos_2024/variant_figures/roussos_2024.infant.GLU/rs12894729_profile_position.png",4,220,900)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-0.009638311</v>
      </c>
      <c r="G1265" t="n">
        <v>0.6482756989335245</v>
      </c>
      <c r="H1265" t="n">
        <v>0.0301301989664818</v>
      </c>
      <c r="I1265" t="n">
        <v>0.0569703435040374</v>
      </c>
      <c r="J1265" t="n">
        <v>0.0289710972464119</v>
      </c>
      <c r="K1265" t="n">
        <v>0.4669301769380669</v>
      </c>
      <c r="L1265" t="b">
        <v>0</v>
      </c>
      <c r="M1265" t="b">
        <v>0</v>
      </c>
      <c r="N1265" t="inlineStr">
        <is>
          <t>ref</t>
        </is>
      </c>
      <c r="O1265" t="n">
        <v>-10</v>
      </c>
      <c r="P1265" t="n">
        <v>0.001602</v>
      </c>
      <c r="Q1265" t="n">
        <v>-100</v>
      </c>
      <c r="R1265" t="n">
        <v>0.0736</v>
      </c>
      <c r="S1265">
        <f>IMAGE("https://mitra.stanford.edu/kundaje/oak/projects/neuro-variants/variant_position/credible/roussos_2024/variant_figures/roussos_2024.infant.GLU/rs10431750_count_position.png",4,220,900)</f>
        <v/>
      </c>
      <c r="T1265">
        <f>IMAGE("https://mitra.stanford.edu/kundaje/oak/projects/neuro-variants/variant_position/credible/roussos_2024/variant_figures/roussos_2024.infant.GLU/rs10431750_profile_position.png",4,220,900)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-0.00026130736</v>
      </c>
      <c r="G1266" t="n">
        <v>0.899431070734798</v>
      </c>
      <c r="H1266" t="n">
        <v>0.0487628179936452</v>
      </c>
      <c r="I1266" t="n">
        <v>0.0085003339681622</v>
      </c>
      <c r="J1266" t="n">
        <v>0.0170572543486407</v>
      </c>
      <c r="K1266" t="n">
        <v>0.5666594308323092</v>
      </c>
      <c r="L1266" t="b">
        <v>1</v>
      </c>
      <c r="M1266" t="b">
        <v>0</v>
      </c>
      <c r="N1266" t="inlineStr">
        <is>
          <t>ref</t>
        </is>
      </c>
      <c r="O1266" t="n">
        <v>-15</v>
      </c>
      <c r="P1266" t="n">
        <v>0.001465</v>
      </c>
      <c r="Q1266" t="n">
        <v>15</v>
      </c>
      <c r="R1266" t="n">
        <v>0.04044</v>
      </c>
      <c r="S1266">
        <f>IMAGE("https://mitra.stanford.edu/kundaje/oak/projects/neuro-variants/variant_position/credible/roussos_2024/variant_figures/roussos_2024.infant.GLU/rs71417868_count_position.png",4,220,900)</f>
        <v/>
      </c>
      <c r="T1266">
        <f>IMAGE("https://mitra.stanford.edu/kundaje/oak/projects/neuro-variants/variant_position/credible/roussos_2024/variant_figures/roussos_2024.infant.GLU/rs71417868_profile_position.png",4,220,900)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-0.014797848404</v>
      </c>
      <c r="G1267" t="n">
        <v>0.5719280462623447</v>
      </c>
      <c r="H1267" t="n">
        <v>0.0086341200862765</v>
      </c>
      <c r="I1267" t="n">
        <v>0.8600235397502151</v>
      </c>
      <c r="J1267" t="n">
        <v>0.0386362133203994</v>
      </c>
      <c r="K1267" t="n">
        <v>0.4031428442659545</v>
      </c>
      <c r="L1267" t="b">
        <v>0</v>
      </c>
      <c r="M1267" t="b">
        <v>0</v>
      </c>
      <c r="N1267" t="inlineStr">
        <is>
          <t>ref</t>
        </is>
      </c>
      <c r="O1267" t="n">
        <v>-85</v>
      </c>
      <c r="P1267" t="n">
        <v>0.1361</v>
      </c>
      <c r="Q1267" t="n">
        <v>-100</v>
      </c>
      <c r="R1267" t="n">
        <v>0.1205</v>
      </c>
      <c r="S1267">
        <f>IMAGE("https://mitra.stanford.edu/kundaje/oak/projects/neuro-variants/variant_position/credible/roussos_2024/variant_figures/roussos_2024.infant.GLU/rs67899457_count_position.png",4,220,900)</f>
        <v/>
      </c>
      <c r="T1267">
        <f>IMAGE("https://mitra.stanford.edu/kundaje/oak/projects/neuro-variants/variant_position/credible/roussos_2024/variant_figures/roussos_2024.infant.GLU/rs67899457_profile_position.png",4,220,900)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-0.08425815839999989</v>
      </c>
      <c r="G1268" t="n">
        <v>0.06933630068304809</v>
      </c>
      <c r="H1268" t="n">
        <v>0.0180219806593221</v>
      </c>
      <c r="I1268" t="n">
        <v>0.2372187788781473</v>
      </c>
      <c r="J1268" t="n">
        <v>0.4916708922154368</v>
      </c>
      <c r="K1268" t="n">
        <v>0.0317337975448684</v>
      </c>
      <c r="L1268" t="b">
        <v>0</v>
      </c>
      <c r="M1268" t="b">
        <v>0</v>
      </c>
      <c r="N1268" t="inlineStr">
        <is>
          <t>ref</t>
        </is>
      </c>
      <c r="O1268" t="n">
        <v>-55</v>
      </c>
      <c r="P1268" t="n">
        <v>0.008359999999999999</v>
      </c>
      <c r="Q1268" t="n">
        <v>-30</v>
      </c>
      <c r="R1268" t="n">
        <v>0.1667</v>
      </c>
      <c r="S1268">
        <f>IMAGE("https://mitra.stanford.edu/kundaje/oak/projects/neuro-variants/variant_position/credible/roussos_2024/variant_figures/roussos_2024.infant.GLU/rs56168984_count_position.png",4,220,900)</f>
        <v/>
      </c>
      <c r="T1268">
        <f>IMAGE("https://mitra.stanford.edu/kundaje/oak/projects/neuro-variants/variant_position/credible/roussos_2024/variant_figures/roussos_2024.infant.GLU/rs56168984_profile_position.png",4,220,900)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0.08948027679999999</v>
      </c>
      <c r="G1269" t="n">
        <v>0.0682353491028487</v>
      </c>
      <c r="H1269" t="n">
        <v>0.0144773691898232</v>
      </c>
      <c r="I1269" t="n">
        <v>0.3911774300557518</v>
      </c>
      <c r="J1269" t="n">
        <v>0.0174750325183535</v>
      </c>
      <c r="K1269" t="n">
        <v>0.5618007237284381</v>
      </c>
      <c r="L1269" t="b">
        <v>0</v>
      </c>
      <c r="M1269" t="b">
        <v>0</v>
      </c>
      <c r="N1269" t="inlineStr">
        <is>
          <t>alt</t>
        </is>
      </c>
      <c r="O1269" t="n">
        <v>-40</v>
      </c>
      <c r="P1269" t="n">
        <v>0.001282</v>
      </c>
      <c r="Q1269" t="n">
        <v>-5</v>
      </c>
      <c r="R1269" t="n">
        <v>0.00628</v>
      </c>
      <c r="S1269">
        <f>IMAGE("https://mitra.stanford.edu/kundaje/oak/projects/neuro-variants/variant_position/credible/roussos_2024/variant_figures/roussos_2024.infant.GLU/rs12878682_count_position.png",4,220,900)</f>
        <v/>
      </c>
      <c r="T1269">
        <f>IMAGE("https://mitra.stanford.edu/kundaje/oak/projects/neuro-variants/variant_position/credible/roussos_2024/variant_figures/roussos_2024.infant.GLU/rs12878682_profile_position.png",4,220,900)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0.0318027722</v>
      </c>
      <c r="G1270" t="n">
        <v>0.3014242191548855</v>
      </c>
      <c r="H1270" t="n">
        <v>0.0146748710657113</v>
      </c>
      <c r="I1270" t="n">
        <v>0.3829203799129891</v>
      </c>
      <c r="J1270" t="n">
        <v>0.0107883771688087</v>
      </c>
      <c r="K1270" t="n">
        <v>0.649428476052508</v>
      </c>
      <c r="L1270" t="b">
        <v>0</v>
      </c>
      <c r="M1270" t="b">
        <v>0</v>
      </c>
      <c r="N1270" t="inlineStr">
        <is>
          <t>alt</t>
        </is>
      </c>
      <c r="O1270" t="n">
        <v>80</v>
      </c>
      <c r="P1270" t="n">
        <v>0.0007553</v>
      </c>
      <c r="Q1270" t="n">
        <v>70</v>
      </c>
      <c r="R1270" t="n">
        <v>0.0581</v>
      </c>
      <c r="S1270">
        <f>IMAGE("https://mitra.stanford.edu/kundaje/oak/projects/neuro-variants/variant_position/credible/roussos_2024/variant_figures/roussos_2024.infant.GLU/rs12888002_count_position.png",4,220,900)</f>
        <v/>
      </c>
      <c r="T1270">
        <f>IMAGE("https://mitra.stanford.edu/kundaje/oak/projects/neuro-variants/variant_position/credible/roussos_2024/variant_figures/roussos_2024.infant.GLU/rs12888002_profile_position.png",4,220,900)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0.0049451046</v>
      </c>
      <c r="G1271" t="n">
        <v>0.4970385233961162</v>
      </c>
      <c r="H1271" t="n">
        <v>0.0122486964790888</v>
      </c>
      <c r="I1271" t="n">
        <v>0.5399700288065025</v>
      </c>
      <c r="J1271" t="n">
        <v>0.0348045591834034</v>
      </c>
      <c r="K1271" t="n">
        <v>0.4170403634258739</v>
      </c>
      <c r="L1271" t="b">
        <v>0</v>
      </c>
      <c r="M1271" t="b">
        <v>0</v>
      </c>
      <c r="N1271" t="inlineStr">
        <is>
          <t>alt</t>
        </is>
      </c>
      <c r="O1271" t="n">
        <v>-100</v>
      </c>
      <c r="P1271" t="n">
        <v>0.003418</v>
      </c>
      <c r="Q1271" t="n">
        <v>25</v>
      </c>
      <c r="R1271" t="n">
        <v>0.008869999999999999</v>
      </c>
      <c r="S1271">
        <f>IMAGE("https://mitra.stanford.edu/kundaje/oak/projects/neuro-variants/variant_position/credible/roussos_2024/variant_figures/roussos_2024.infant.GLU/rs66509671_count_position.png",4,220,900)</f>
        <v/>
      </c>
      <c r="T1271">
        <f>IMAGE("https://mitra.stanford.edu/kundaje/oak/projects/neuro-variants/variant_position/credible/roussos_2024/variant_figures/roussos_2024.infant.GLU/rs66509671_profile_position.png",4,220,900)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-0.02783624972</v>
      </c>
      <c r="G1272" t="n">
        <v>0.3014671685957169</v>
      </c>
      <c r="H1272" t="n">
        <v>0.0219827955591396</v>
      </c>
      <c r="I1272" t="n">
        <v>0.1432109275440309</v>
      </c>
      <c r="J1272" t="n">
        <v>0.1657223483762869</v>
      </c>
      <c r="K1272" t="n">
        <v>0.1326767911915798</v>
      </c>
      <c r="L1272" t="b">
        <v>0</v>
      </c>
      <c r="M1272" t="b">
        <v>0</v>
      </c>
      <c r="N1272" t="inlineStr">
        <is>
          <t>ref</t>
        </is>
      </c>
      <c r="O1272" t="n">
        <v>65</v>
      </c>
      <c r="P1272" t="n">
        <v>0.01114</v>
      </c>
      <c r="Q1272" t="n">
        <v>-100</v>
      </c>
      <c r="R1272" t="n">
        <v>0.05005</v>
      </c>
      <c r="S1272">
        <f>IMAGE("https://mitra.stanford.edu/kundaje/oak/projects/neuro-variants/variant_position/credible/roussos_2024/variant_figures/roussos_2024.infant.GLU/rs11160762_count_position.png",4,220,900)</f>
        <v/>
      </c>
      <c r="T1272">
        <f>IMAGE("https://mitra.stanford.edu/kundaje/oak/projects/neuro-variants/variant_position/credible/roussos_2024/variant_figures/roussos_2024.infant.GLU/rs11160762_profile_position.png",4,220,900)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0.1315442992</v>
      </c>
      <c r="G1273" t="n">
        <v>0.0310370269830812</v>
      </c>
      <c r="H1273" t="n">
        <v>0.0262849983502621</v>
      </c>
      <c r="I1273" t="n">
        <v>0.0891458808917259</v>
      </c>
      <c r="J1273" t="n">
        <v>0.0866608611300954</v>
      </c>
      <c r="K1273" t="n">
        <v>0.2309411493208493</v>
      </c>
      <c r="L1273" t="b">
        <v>0</v>
      </c>
      <c r="M1273" t="b">
        <v>0</v>
      </c>
      <c r="N1273" t="inlineStr">
        <is>
          <t>alt</t>
        </is>
      </c>
      <c r="O1273" t="n">
        <v>-35</v>
      </c>
      <c r="P1273" t="n">
        <v>0.006607</v>
      </c>
      <c r="Q1273" t="n">
        <v>-90</v>
      </c>
      <c r="R1273" t="n">
        <v>0.10077</v>
      </c>
      <c r="S1273">
        <f>IMAGE("https://mitra.stanford.edu/kundaje/oak/projects/neuro-variants/variant_position/credible/roussos_2024/variant_figures/roussos_2024.infant.GLU/rs12883337_count_position.png",4,220,900)</f>
        <v/>
      </c>
      <c r="T1273">
        <f>IMAGE("https://mitra.stanford.edu/kundaje/oak/projects/neuro-variants/variant_position/credible/roussos_2024/variant_figures/roussos_2024.infant.GLU/rs12883337_profile_position.png",4,220,900)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-0.248385744</v>
      </c>
      <c r="G1274" t="n">
        <v>0.0055188509613729</v>
      </c>
      <c r="H1274" t="n">
        <v>0.0361132117096911</v>
      </c>
      <c r="I1274" t="n">
        <v>0.0300349290944667</v>
      </c>
      <c r="J1274" t="n">
        <v>0.0302497850481712</v>
      </c>
      <c r="K1274" t="n">
        <v>0.4554689247802929</v>
      </c>
      <c r="L1274" t="b">
        <v>1</v>
      </c>
      <c r="M1274" t="b">
        <v>1</v>
      </c>
      <c r="N1274" t="inlineStr">
        <is>
          <t>ref</t>
        </is>
      </c>
      <c r="O1274" t="n">
        <v>-30</v>
      </c>
      <c r="P1274" t="n">
        <v>0.02156</v>
      </c>
      <c r="Q1274" t="n">
        <v>-55</v>
      </c>
      <c r="R1274" t="n">
        <v>0.04895</v>
      </c>
      <c r="S1274">
        <f>IMAGE("https://mitra.stanford.edu/kundaje/oak/projects/neuro-variants/variant_position/credible/roussos_2024/variant_figures/roussos_2024.infant.GLU/rs66676135_count_position.png",4,220,900)</f>
        <v/>
      </c>
      <c r="T1274">
        <f>IMAGE("https://mitra.stanford.edu/kundaje/oak/projects/neuro-variants/variant_position/credible/roussos_2024/variant_figures/roussos_2024.infant.GLU/rs66676135_profile_position.png",4,220,900)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0.0903922096</v>
      </c>
      <c r="G1275" t="n">
        <v>0.0410800848369183</v>
      </c>
      <c r="H1275" t="n">
        <v>0.0193850093574245</v>
      </c>
      <c r="I1275" t="n">
        <v>0.212024868611804</v>
      </c>
      <c r="J1275" t="n">
        <v>0.3036839436495513</v>
      </c>
      <c r="K1275" t="n">
        <v>0.06824454095697551</v>
      </c>
      <c r="L1275" t="b">
        <v>0</v>
      </c>
      <c r="M1275" t="b">
        <v>0</v>
      </c>
      <c r="N1275" t="inlineStr">
        <is>
          <t>alt</t>
        </is>
      </c>
      <c r="O1275" t="n">
        <v>30</v>
      </c>
      <c r="P1275" t="n">
        <v>0.00775</v>
      </c>
      <c r="Q1275" t="n">
        <v>-65</v>
      </c>
      <c r="R1275" t="n">
        <v>0.04468</v>
      </c>
      <c r="S1275">
        <f>IMAGE("https://mitra.stanford.edu/kundaje/oak/projects/neuro-variants/variant_position/credible/roussos_2024/variant_figures/roussos_2024.infant.GLU/rs3861678_count_position.png",4,220,900)</f>
        <v/>
      </c>
      <c r="T1275">
        <f>IMAGE("https://mitra.stanford.edu/kundaje/oak/projects/neuro-variants/variant_position/credible/roussos_2024/variant_figures/roussos_2024.infant.GLU/rs3861678_profile_position.png",4,220,900)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-0.0463159313999999</v>
      </c>
      <c r="G1276" t="n">
        <v>0.1873902615861433</v>
      </c>
      <c r="H1276" t="n">
        <v>0.0128890207467471</v>
      </c>
      <c r="I1276" t="n">
        <v>0.4855282892292044</v>
      </c>
      <c r="J1276" t="n">
        <v>0.0430245375779888</v>
      </c>
      <c r="K1276" t="n">
        <v>0.3945031122093381</v>
      </c>
      <c r="L1276" t="b">
        <v>0</v>
      </c>
      <c r="M1276" t="b">
        <v>0</v>
      </c>
      <c r="N1276" t="inlineStr">
        <is>
          <t>ref</t>
        </is>
      </c>
      <c r="O1276" t="n">
        <v>-75</v>
      </c>
      <c r="P1276" t="n">
        <v>0.003567</v>
      </c>
      <c r="Q1276" t="n">
        <v>-50</v>
      </c>
      <c r="R1276" t="n">
        <v>0.02069</v>
      </c>
      <c r="S1276">
        <f>IMAGE("https://mitra.stanford.edu/kundaje/oak/projects/neuro-variants/variant_position/credible/roussos_2024/variant_figures/roussos_2024.infant.GLU/rs6576007_count_position.png",4,220,900)</f>
        <v/>
      </c>
      <c r="T1276">
        <f>IMAGE("https://mitra.stanford.edu/kundaje/oak/projects/neuro-variants/variant_position/credible/roussos_2024/variant_figures/roussos_2024.infant.GLU/rs6576007_profile_position.png",4,220,900)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0.0331774424</v>
      </c>
      <c r="G1277" t="n">
        <v>0.2833667805602709</v>
      </c>
      <c r="H1277" t="n">
        <v>0.01116458110512</v>
      </c>
      <c r="I1277" t="n">
        <v>0.6335894639028808</v>
      </c>
      <c r="J1277" t="n">
        <v>0.0710300050706585</v>
      </c>
      <c r="K1277" t="n">
        <v>0.2794723862835</v>
      </c>
      <c r="L1277" t="b">
        <v>0</v>
      </c>
      <c r="M1277" t="b">
        <v>0</v>
      </c>
      <c r="N1277" t="inlineStr">
        <is>
          <t>alt</t>
        </is>
      </c>
      <c r="O1277" t="n">
        <v>-15</v>
      </c>
      <c r="P1277" t="n">
        <v>0.000862</v>
      </c>
      <c r="Q1277" t="n">
        <v>0</v>
      </c>
      <c r="R1277" t="n">
        <v>0</v>
      </c>
      <c r="S1277">
        <f>IMAGE("https://mitra.stanford.edu/kundaje/oak/projects/neuro-variants/variant_position/credible/roussos_2024/variant_figures/roussos_2024.infant.GLU/rs4984237_count_position.png",4,220,900)</f>
        <v/>
      </c>
      <c r="T1277">
        <f>IMAGE("https://mitra.stanford.edu/kundaje/oak/projects/neuro-variants/variant_position/credible/roussos_2024/variant_figures/roussos_2024.infant.GLU/rs4984237_profile_position.png",4,220,900)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0.18178845</v>
      </c>
      <c r="G1278" t="n">
        <v>0.012898304984981</v>
      </c>
      <c r="H1278" t="n">
        <v>0.044436631201817</v>
      </c>
      <c r="I1278" t="n">
        <v>0.0131219713086219</v>
      </c>
      <c r="J1278" t="n">
        <v>0.9167960052029364</v>
      </c>
      <c r="K1278" t="n">
        <v>0.0024636584975553</v>
      </c>
      <c r="L1278" t="b">
        <v>1</v>
      </c>
      <c r="M1278" t="b">
        <v>0</v>
      </c>
      <c r="N1278" t="inlineStr">
        <is>
          <t>alt</t>
        </is>
      </c>
      <c r="O1278" t="n">
        <v>-50</v>
      </c>
      <c r="P1278" t="n">
        <v>0.004272</v>
      </c>
      <c r="Q1278" t="n">
        <v>-5</v>
      </c>
      <c r="R1278" t="n">
        <v>0.006836</v>
      </c>
      <c r="S1278">
        <f>IMAGE("https://mitra.stanford.edu/kundaje/oak/projects/neuro-variants/variant_position/credible/roussos_2024/variant_figures/roussos_2024.infant.GLU/rs117799466_count_position.png",4,220,900)</f>
        <v/>
      </c>
      <c r="T1278">
        <f>IMAGE("https://mitra.stanford.edu/kundaje/oak/projects/neuro-variants/variant_position/credible/roussos_2024/variant_figures/roussos_2024.infant.GLU/rs117799466_profile_position.png",4,220,900)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-0.02360905769</v>
      </c>
      <c r="G1279" t="n">
        <v>0.4690707707150955</v>
      </c>
      <c r="H1279" t="n">
        <v>0.0119859712995831</v>
      </c>
      <c r="I1279" t="n">
        <v>0.5430706548069226</v>
      </c>
      <c r="J1279" t="n">
        <v>0.0204325492184571</v>
      </c>
      <c r="K1279" t="n">
        <v>0.5446619764236585</v>
      </c>
      <c r="L1279" t="b">
        <v>0</v>
      </c>
      <c r="M1279" t="b">
        <v>0</v>
      </c>
      <c r="N1279" t="inlineStr">
        <is>
          <t>ref</t>
        </is>
      </c>
      <c r="O1279" t="n">
        <v>-80</v>
      </c>
      <c r="P1279" t="n">
        <v>0.02689</v>
      </c>
      <c r="Q1279" t="n">
        <v>65</v>
      </c>
      <c r="R1279" t="n">
        <v>0.05066</v>
      </c>
      <c r="S1279">
        <f>IMAGE("https://mitra.stanford.edu/kundaje/oak/projects/neuro-variants/variant_position/credible/roussos_2024/variant_figures/roussos_2024.infant.GLU/rs11070264_count_position.png",4,220,900)</f>
        <v/>
      </c>
      <c r="T1279">
        <f>IMAGE("https://mitra.stanford.edu/kundaje/oak/projects/neuro-variants/variant_position/credible/roussos_2024/variant_figures/roussos_2024.infant.GLU/rs11070264_profile_position.png",4,220,900)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0.052905057</v>
      </c>
      <c r="G1280" t="n">
        <v>0.1488387619021631</v>
      </c>
      <c r="H1280" t="n">
        <v>0.0137030606955978</v>
      </c>
      <c r="I1280" t="n">
        <v>0.4366736904875362</v>
      </c>
      <c r="J1280" t="n">
        <v>0.6447452545250116</v>
      </c>
      <c r="K1280" t="n">
        <v>0.0177406652574865</v>
      </c>
      <c r="L1280" t="b">
        <v>0</v>
      </c>
      <c r="M1280" t="b">
        <v>0</v>
      </c>
      <c r="N1280" t="inlineStr">
        <is>
          <t>alt</t>
        </is>
      </c>
      <c r="O1280" t="n">
        <v>75</v>
      </c>
      <c r="P1280" t="n">
        <v>0.01393</v>
      </c>
      <c r="Q1280" t="n">
        <v>-95</v>
      </c>
      <c r="R1280" t="n">
        <v>0.1009</v>
      </c>
      <c r="S1280">
        <f>IMAGE("https://mitra.stanford.edu/kundaje/oak/projects/neuro-variants/variant_position/credible/roussos_2024/variant_figures/roussos_2024.infant.GLU/rs2289334_count_position.png",4,220,900)</f>
        <v/>
      </c>
      <c r="T1280">
        <f>IMAGE("https://mitra.stanford.edu/kundaje/oak/projects/neuro-variants/variant_position/credible/roussos_2024/variant_figures/roussos_2024.infant.GLU/rs2289334_profile_position.png",4,220,900)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0.0564413365999999</v>
      </c>
      <c r="G1281" t="n">
        <v>0.1364932357026339</v>
      </c>
      <c r="H1281" t="n">
        <v>0.0133650946569725</v>
      </c>
      <c r="I1281" t="n">
        <v>0.4576628127658601</v>
      </c>
      <c r="J1281" t="n">
        <v>0.1464902224475848</v>
      </c>
      <c r="K1281" t="n">
        <v>0.1481248098502061</v>
      </c>
      <c r="L1281" t="b">
        <v>0</v>
      </c>
      <c r="M1281" t="b">
        <v>0</v>
      </c>
      <c r="N1281" t="inlineStr">
        <is>
          <t>alt</t>
        </is>
      </c>
      <c r="O1281" t="n">
        <v>-100</v>
      </c>
      <c r="P1281" t="n">
        <v>0.002972</v>
      </c>
      <c r="Q1281" t="n">
        <v>90</v>
      </c>
      <c r="R1281" t="n">
        <v>0.2173</v>
      </c>
      <c r="S1281">
        <f>IMAGE("https://mitra.stanford.edu/kundaje/oak/projects/neuro-variants/variant_position/credible/roussos_2024/variant_figures/roussos_2024.infant.GLU/rs1077476_count_position.png",4,220,900)</f>
        <v/>
      </c>
      <c r="T1281">
        <f>IMAGE("https://mitra.stanford.edu/kundaje/oak/projects/neuro-variants/variant_position/credible/roussos_2024/variant_figures/roussos_2024.infant.GLU/rs1077476_profile_position.png",4,220,900)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0.009831251379999999</v>
      </c>
      <c r="G1282" t="n">
        <v>0.6336226772665249</v>
      </c>
      <c r="H1282" t="n">
        <v>0.0563903943981149</v>
      </c>
      <c r="I1282" t="n">
        <v>0.0043280414200916</v>
      </c>
      <c r="J1282" t="n">
        <v>0.0064121783989946</v>
      </c>
      <c r="K1282" t="n">
        <v>0.7189808945459312</v>
      </c>
      <c r="L1282" t="b">
        <v>0</v>
      </c>
      <c r="M1282" t="b">
        <v>0</v>
      </c>
      <c r="N1282" t="inlineStr">
        <is>
          <t>alt</t>
        </is>
      </c>
      <c r="O1282" t="n">
        <v>30</v>
      </c>
      <c r="P1282" t="n">
        <v>0.00586</v>
      </c>
      <c r="Q1282" t="n">
        <v>-65</v>
      </c>
      <c r="R1282" t="n">
        <v>0.08746</v>
      </c>
      <c r="S1282">
        <f>IMAGE("https://mitra.stanford.edu/kundaje/oak/projects/neuro-variants/variant_position/credible/roussos_2024/variant_figures/roussos_2024.infant.GLU/rs2467742_count_position.png",4,220,900)</f>
        <v/>
      </c>
      <c r="T1282">
        <f>IMAGE("https://mitra.stanford.edu/kundaje/oak/projects/neuro-variants/variant_position/credible/roussos_2024/variant_figures/roussos_2024.infant.GLU/rs2467742_profile_position.png",4,220,900)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0.0321547048</v>
      </c>
      <c r="G1283" t="n">
        <v>0.2895956167665625</v>
      </c>
      <c r="H1283" t="n">
        <v>0.0502778820705347</v>
      </c>
      <c r="I1283" t="n">
        <v>0.0075314106198894</v>
      </c>
      <c r="J1283" t="n">
        <v>0.0278577570052249</v>
      </c>
      <c r="K1283" t="n">
        <v>0.4678074435680538</v>
      </c>
      <c r="L1283" t="b">
        <v>1</v>
      </c>
      <c r="M1283" t="b">
        <v>0</v>
      </c>
      <c r="N1283" t="inlineStr">
        <is>
          <t>alt</t>
        </is>
      </c>
      <c r="O1283" t="n">
        <v>65</v>
      </c>
      <c r="P1283" t="n">
        <v>0.00809</v>
      </c>
      <c r="Q1283" t="n">
        <v>-100</v>
      </c>
      <c r="R1283" t="n">
        <v>0.10114</v>
      </c>
      <c r="S1283">
        <f>IMAGE("https://mitra.stanford.edu/kundaje/oak/projects/neuro-variants/variant_position/credible/roussos_2024/variant_figures/roussos_2024.infant.GLU/rs518288_count_position.png",4,220,900)</f>
        <v/>
      </c>
      <c r="T1283">
        <f>IMAGE("https://mitra.stanford.edu/kundaje/oak/projects/neuro-variants/variant_position/credible/roussos_2024/variant_figures/roussos_2024.infant.GLU/rs518288_profile_position.png",4,220,900)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0.241002026</v>
      </c>
      <c r="G1284" t="n">
        <v>0.0065263025823131</v>
      </c>
      <c r="H1284" t="n">
        <v>0.0409941480604221</v>
      </c>
      <c r="I1284" t="n">
        <v>0.0190560692861078</v>
      </c>
      <c r="J1284" t="n">
        <v>0.6393879935624683</v>
      </c>
      <c r="K1284" t="n">
        <v>0.0181473209181119</v>
      </c>
      <c r="L1284" t="b">
        <v>1</v>
      </c>
      <c r="M1284" t="b">
        <v>1</v>
      </c>
      <c r="N1284" t="inlineStr">
        <is>
          <t>alt</t>
        </is>
      </c>
      <c r="O1284" t="n">
        <v>-100</v>
      </c>
      <c r="P1284" t="n">
        <v>0.0709</v>
      </c>
      <c r="Q1284" t="n">
        <v>-100</v>
      </c>
      <c r="R1284" t="n">
        <v>0.4937</v>
      </c>
      <c r="S1284">
        <f>IMAGE("https://mitra.stanford.edu/kundaje/oak/projects/neuro-variants/variant_position/credible/roussos_2024/variant_figures/roussos_2024.infant.GLU/rs572837_count_position.png",4,220,900)</f>
        <v/>
      </c>
      <c r="T1284">
        <f>IMAGE("https://mitra.stanford.edu/kundaje/oak/projects/neuro-variants/variant_position/credible/roussos_2024/variant_figures/roussos_2024.infant.GLU/rs572837_profile_position.png",4,220,900)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-0.0572381884</v>
      </c>
      <c r="G1285" t="n">
        <v>0.1535630816425096</v>
      </c>
      <c r="H1285" t="n">
        <v>0.013046602549507</v>
      </c>
      <c r="I1285" t="n">
        <v>0.4778376595558703</v>
      </c>
      <c r="J1285" t="n">
        <v>0.0008972860953724</v>
      </c>
      <c r="K1285" t="n">
        <v>0.893822302881456</v>
      </c>
      <c r="L1285" t="b">
        <v>0</v>
      </c>
      <c r="M1285" t="b">
        <v>0</v>
      </c>
      <c r="N1285" t="inlineStr">
        <is>
          <t>ref</t>
        </is>
      </c>
      <c r="O1285" t="n">
        <v>75</v>
      </c>
      <c r="P1285" t="n">
        <v>0.00946</v>
      </c>
      <c r="Q1285" t="n">
        <v>-65</v>
      </c>
      <c r="R1285" t="n">
        <v>0.01947</v>
      </c>
      <c r="S1285">
        <f>IMAGE("https://mitra.stanford.edu/kundaje/oak/projects/neuro-variants/variant_position/credible/roussos_2024/variant_figures/roussos_2024.infant.GLU/rs2255663_count_position.png",4,220,900)</f>
        <v/>
      </c>
      <c r="T1285">
        <f>IMAGE("https://mitra.stanford.edu/kundaje/oak/projects/neuro-variants/variant_position/credible/roussos_2024/variant_figures/roussos_2024.infant.GLU/rs2255663_profile_position.png",4,220,900)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-0.0132397832039999</v>
      </c>
      <c r="G1286" t="n">
        <v>0.5776141847260319</v>
      </c>
      <c r="H1286" t="n">
        <v>0.0313142132308598</v>
      </c>
      <c r="I1286" t="n">
        <v>0.0501588989467388</v>
      </c>
      <c r="J1286" t="n">
        <v>0.02457726140347</v>
      </c>
      <c r="K1286" t="n">
        <v>0.5016928654103465</v>
      </c>
      <c r="L1286" t="b">
        <v>0</v>
      </c>
      <c r="M1286" t="b">
        <v>0</v>
      </c>
      <c r="N1286" t="inlineStr">
        <is>
          <t>ref</t>
        </is>
      </c>
      <c r="O1286" t="n">
        <v>-90</v>
      </c>
      <c r="P1286" t="n">
        <v>0.02005</v>
      </c>
      <c r="Q1286" t="n">
        <v>-95</v>
      </c>
      <c r="R1286" t="n">
        <v>0.07745</v>
      </c>
      <c r="S1286">
        <f>IMAGE("https://mitra.stanford.edu/kundaje/oak/projects/neuro-variants/variant_position/credible/roussos_2024/variant_figures/roussos_2024.infant.GLU/rs7169112_count_position.png",4,220,900)</f>
        <v/>
      </c>
      <c r="T1286">
        <f>IMAGE("https://mitra.stanford.edu/kundaje/oak/projects/neuro-variants/variant_position/credible/roussos_2024/variant_figures/roussos_2024.infant.GLU/rs7169112_profile_position.png",4,220,900)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-0.0337168202</v>
      </c>
      <c r="G1287" t="n">
        <v>0.2845509752082303</v>
      </c>
      <c r="H1287" t="n">
        <v>0.079761232518668</v>
      </c>
      <c r="I1287" t="n">
        <v>0.0006783753864742</v>
      </c>
      <c r="J1287" t="n">
        <v>0.013431733503825</v>
      </c>
      <c r="K1287" t="n">
        <v>0.6070828889037314</v>
      </c>
      <c r="L1287" t="b">
        <v>1</v>
      </c>
      <c r="M1287" t="b">
        <v>0</v>
      </c>
      <c r="N1287" t="inlineStr">
        <is>
          <t>ref</t>
        </is>
      </c>
      <c r="O1287" t="n">
        <v>100</v>
      </c>
      <c r="P1287" t="n">
        <v>0.014404</v>
      </c>
      <c r="Q1287" t="n">
        <v>-75</v>
      </c>
      <c r="R1287" t="n">
        <v>0.0586</v>
      </c>
      <c r="S1287">
        <f>IMAGE("https://mitra.stanford.edu/kundaje/oak/projects/neuro-variants/variant_position/credible/roussos_2024/variant_figures/roussos_2024.infant.GLU/rs8033846_count_position.png",4,220,900)</f>
        <v/>
      </c>
      <c r="T1287">
        <f>IMAGE("https://mitra.stanford.edu/kundaje/oak/projects/neuro-variants/variant_position/credible/roussos_2024/variant_figures/roussos_2024.infant.GLU/rs8033846_profile_position.png",4,220,900)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-0.005167026186</v>
      </c>
      <c r="G1288" t="n">
        <v>0.7533876909088527</v>
      </c>
      <c r="H1288" t="n">
        <v>0.0244479596374389</v>
      </c>
      <c r="I1288" t="n">
        <v>0.107767089289685</v>
      </c>
      <c r="J1288" t="n">
        <v>0.9265900923741706</v>
      </c>
      <c r="K1288" t="n">
        <v>0.0020006174904057</v>
      </c>
      <c r="L1288" t="b">
        <v>0</v>
      </c>
      <c r="M1288" t="b">
        <v>0</v>
      </c>
      <c r="N1288" t="inlineStr">
        <is>
          <t>ref</t>
        </is>
      </c>
      <c r="O1288" t="n">
        <v>80</v>
      </c>
      <c r="P1288" t="n">
        <v>0.01111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IMAGE("https://mitra.stanford.edu/kundaje/oak/projects/neuro-variants/variant_position/credible/roussos_2024/variant_figures/roussos_2024.infant.GLU/rs7174732_count_position.png",4,220,900)</f>
        <v/>
      </c>
      <c r="T1288">
        <f>IMAGE("https://mitra.stanford.edu/kundaje/oak/projects/neuro-variants/variant_position/credible/roussos_2024/variant_figures/roussos_2024.infant.GLU/rs7174732_profile_position.png",4,220,900)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-0.0001977158799999</v>
      </c>
      <c r="G1289" t="n">
        <v>0.4737689787270068</v>
      </c>
      <c r="H1289" t="n">
        <v>0.0150484863055302</v>
      </c>
      <c r="I1289" t="n">
        <v>0.3600826127918927</v>
      </c>
      <c r="J1289" t="n">
        <v>0.9239544522586478</v>
      </c>
      <c r="K1289" t="n">
        <v>0.0021852757688162</v>
      </c>
      <c r="L1289" t="b">
        <v>0</v>
      </c>
      <c r="M1289" t="b">
        <v>0</v>
      </c>
      <c r="N1289" t="inlineStr">
        <is>
          <t>ref</t>
        </is>
      </c>
      <c r="O1289" t="n">
        <v>-100</v>
      </c>
      <c r="P1289" t="n">
        <v>0.01526</v>
      </c>
      <c r="Q1289" t="n">
        <v>-40</v>
      </c>
      <c r="R1289" t="n">
        <v>0.09937</v>
      </c>
      <c r="S1289">
        <f>IMAGE("https://mitra.stanford.edu/kundaje/oak/projects/neuro-variants/variant_position/credible/roussos_2024/variant_figures/roussos_2024.infant.GLU/rs2411284_count_position.png",4,220,900)</f>
        <v/>
      </c>
      <c r="T1289">
        <f>IMAGE("https://mitra.stanford.edu/kundaje/oak/projects/neuro-variants/variant_position/credible/roussos_2024/variant_figures/roussos_2024.infant.GLU/rs2411284_profile_position.png",4,220,900)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-0.0417929796</v>
      </c>
      <c r="G1290" t="n">
        <v>0.2211265012318381</v>
      </c>
      <c r="H1290" t="n">
        <v>0.0110363895234412</v>
      </c>
      <c r="I1290" t="n">
        <v>0.6456198832649328</v>
      </c>
      <c r="J1290" t="n">
        <v>0.1321777376044445</v>
      </c>
      <c r="K1290" t="n">
        <v>0.1643262287266984</v>
      </c>
      <c r="L1290" t="b">
        <v>0</v>
      </c>
      <c r="M1290" t="b">
        <v>0</v>
      </c>
      <c r="N1290" t="inlineStr">
        <is>
          <t>ref</t>
        </is>
      </c>
      <c r="O1290" t="n">
        <v>-55</v>
      </c>
      <c r="P1290" t="n">
        <v>0.000822</v>
      </c>
      <c r="Q1290" t="n">
        <v>95</v>
      </c>
      <c r="R1290" t="n">
        <v>0.1136</v>
      </c>
      <c r="S1290">
        <f>IMAGE("https://mitra.stanford.edu/kundaje/oak/projects/neuro-variants/variant_position/credible/roussos_2024/variant_figures/roussos_2024.infant.GLU/rs12441861_count_position.png",4,220,900)</f>
        <v/>
      </c>
      <c r="T1290">
        <f>IMAGE("https://mitra.stanford.edu/kundaje/oak/projects/neuro-variants/variant_position/credible/roussos_2024/variant_figures/roussos_2024.infant.GLU/rs12441861_profile_position.png",4,220,900)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-0.0521876245999999</v>
      </c>
      <c r="G1291" t="n">
        <v>0.1574259748267576</v>
      </c>
      <c r="H1291" t="n">
        <v>0.0803107261472734</v>
      </c>
      <c r="I1291" t="n">
        <v>0.0006362432049781</v>
      </c>
      <c r="J1291" t="n">
        <v>0.0239246896977446</v>
      </c>
      <c r="K1291" t="n">
        <v>0.4986150848718169</v>
      </c>
      <c r="L1291" t="b">
        <v>1</v>
      </c>
      <c r="M1291" t="b">
        <v>0</v>
      </c>
      <c r="N1291" t="inlineStr">
        <is>
          <t>ref</t>
        </is>
      </c>
      <c r="O1291" t="n">
        <v>100</v>
      </c>
      <c r="P1291" t="n">
        <v>0.05255</v>
      </c>
      <c r="Q1291" t="n">
        <v>100</v>
      </c>
      <c r="R1291" t="n">
        <v>0.1113</v>
      </c>
      <c r="S1291">
        <f>IMAGE("https://mitra.stanford.edu/kundaje/oak/projects/neuro-variants/variant_position/credible/roussos_2024/variant_figures/roussos_2024.infant.GLU/rs2957583_count_position.png",4,220,900)</f>
        <v/>
      </c>
      <c r="T1291">
        <f>IMAGE("https://mitra.stanford.edu/kundaje/oak/projects/neuro-variants/variant_position/credible/roussos_2024/variant_figures/roussos_2024.infant.GLU/rs2957583_profile_position.png",4,220,900)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-0.180487252</v>
      </c>
      <c r="G1292" t="n">
        <v>0.0132036882417511</v>
      </c>
      <c r="H1292" t="n">
        <v>0.0464410464282526</v>
      </c>
      <c r="I1292" t="n">
        <v>0.0106245264660245</v>
      </c>
      <c r="J1292" t="n">
        <v>0.058456976564739</v>
      </c>
      <c r="K1292" t="n">
        <v>0.3067796652046546</v>
      </c>
      <c r="L1292" t="b">
        <v>1</v>
      </c>
      <c r="M1292" t="b">
        <v>0</v>
      </c>
      <c r="N1292" t="inlineStr">
        <is>
          <t>ref</t>
        </is>
      </c>
      <c r="O1292" t="n">
        <v>85</v>
      </c>
      <c r="P1292" t="n">
        <v>0.01318</v>
      </c>
      <c r="Q1292" t="n">
        <v>-60</v>
      </c>
      <c r="R1292" t="n">
        <v>0.0464</v>
      </c>
      <c r="S1292">
        <f>IMAGE("https://mitra.stanford.edu/kundaje/oak/projects/neuro-variants/variant_position/credible/roussos_2024/variant_figures/roussos_2024.infant.GLU/rs4924727_count_position.png",4,220,900)</f>
        <v/>
      </c>
      <c r="T1292">
        <f>IMAGE("https://mitra.stanford.edu/kundaje/oak/projects/neuro-variants/variant_position/credible/roussos_2024/variant_figures/roussos_2024.infant.GLU/rs4924727_profile_position.png",4,220,900)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0.1117242652</v>
      </c>
      <c r="G1293" t="n">
        <v>0.0411635845933045</v>
      </c>
      <c r="H1293" t="n">
        <v>0.0277790982298527</v>
      </c>
      <c r="I1293" t="n">
        <v>0.0741778345226819</v>
      </c>
      <c r="J1293" t="n">
        <v>0.0300833351705283</v>
      </c>
      <c r="K1293" t="n">
        <v>0.4584529964053072</v>
      </c>
      <c r="L1293" t="b">
        <v>0</v>
      </c>
      <c r="M1293" t="b">
        <v>0</v>
      </c>
      <c r="N1293" t="inlineStr">
        <is>
          <t>alt</t>
        </is>
      </c>
      <c r="O1293" t="n">
        <v>30</v>
      </c>
      <c r="P1293" t="n">
        <v>0.003418</v>
      </c>
      <c r="Q1293" t="n">
        <v>-90</v>
      </c>
      <c r="R1293" t="n">
        <v>0.1465</v>
      </c>
      <c r="S1293">
        <f>IMAGE("https://mitra.stanford.edu/kundaje/oak/projects/neuro-variants/variant_position/credible/roussos_2024/variant_figures/roussos_2024.infant.GLU/rs12437804_count_position.png",4,220,900)</f>
        <v/>
      </c>
      <c r="T1293">
        <f>IMAGE("https://mitra.stanford.edu/kundaje/oak/projects/neuro-variants/variant_position/credible/roussos_2024/variant_figures/roussos_2024.infant.GLU/rs12437804_profile_position.png",4,220,900)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0.0784205804</v>
      </c>
      <c r="G1294" t="n">
        <v>0.08165427658125859</v>
      </c>
      <c r="H1294" t="n">
        <v>0.0149966872853511</v>
      </c>
      <c r="I1294" t="n">
        <v>0.3656529243426839</v>
      </c>
      <c r="J1294" t="n">
        <v>0.0275623360303357</v>
      </c>
      <c r="K1294" t="n">
        <v>0.4718311949068239</v>
      </c>
      <c r="L1294" t="b">
        <v>0</v>
      </c>
      <c r="M1294" t="b">
        <v>0</v>
      </c>
      <c r="N1294" t="inlineStr">
        <is>
          <t>alt</t>
        </is>
      </c>
      <c r="O1294" t="n">
        <v>80</v>
      </c>
      <c r="P1294" t="n">
        <v>0.01807</v>
      </c>
      <c r="Q1294" t="n">
        <v>80</v>
      </c>
      <c r="R1294" t="n">
        <v>0.2822</v>
      </c>
      <c r="S1294">
        <f>IMAGE("https://mitra.stanford.edu/kundaje/oak/projects/neuro-variants/variant_position/credible/roussos_2024/variant_figures/roussos_2024.infant.GLU/rs4419034_count_position.png",4,220,900)</f>
        <v/>
      </c>
      <c r="T1294">
        <f>IMAGE("https://mitra.stanford.edu/kundaje/oak/projects/neuro-variants/variant_position/credible/roussos_2024/variant_figures/roussos_2024.infant.GLU/rs4419034_profile_position.png",4,220,900)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-0.283072132</v>
      </c>
      <c r="G1295" t="n">
        <v>0.0038762366189852</v>
      </c>
      <c r="H1295" t="n">
        <v>0.0352236169641022</v>
      </c>
      <c r="I1295" t="n">
        <v>0.0331795807687181</v>
      </c>
      <c r="J1295" t="n">
        <v>0.0712692078749531</v>
      </c>
      <c r="K1295" t="n">
        <v>0.2690388878737585</v>
      </c>
      <c r="L1295" t="b">
        <v>1</v>
      </c>
      <c r="M1295" t="b">
        <v>1</v>
      </c>
      <c r="N1295" t="inlineStr">
        <is>
          <t>ref</t>
        </is>
      </c>
      <c r="O1295" t="n">
        <v>100</v>
      </c>
      <c r="P1295" t="n">
        <v>0.0386</v>
      </c>
      <c r="Q1295" t="n">
        <v>-40</v>
      </c>
      <c r="R1295" t="n">
        <v>0.04346</v>
      </c>
      <c r="S1295">
        <f>IMAGE("https://mitra.stanford.edu/kundaje/oak/projects/neuro-variants/variant_position/credible/roussos_2024/variant_figures/roussos_2024.infant.GLU/rs2706488_count_position.png",4,220,900)</f>
        <v/>
      </c>
      <c r="T1295">
        <f>IMAGE("https://mitra.stanford.edu/kundaje/oak/projects/neuro-variants/variant_position/credible/roussos_2024/variant_figures/roussos_2024.infant.GLU/rs2706488_profile_position.png",4,220,900)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-0.00968706068</v>
      </c>
      <c r="G1296" t="n">
        <v>0.5587496165324438</v>
      </c>
      <c r="H1296" t="n">
        <v>0.044925176835032</v>
      </c>
      <c r="I1296" t="n">
        <v>0.0122777778028299</v>
      </c>
      <c r="J1296" t="n">
        <v>0.0167155360567913</v>
      </c>
      <c r="K1296" t="n">
        <v>0.5711209255614728</v>
      </c>
      <c r="L1296" t="b">
        <v>1</v>
      </c>
      <c r="M1296" t="b">
        <v>0</v>
      </c>
      <c r="N1296" t="inlineStr">
        <is>
          <t>ref</t>
        </is>
      </c>
      <c r="O1296" t="n">
        <v>30</v>
      </c>
      <c r="P1296" t="n">
        <v>0.00757</v>
      </c>
      <c r="Q1296" t="n">
        <v>10</v>
      </c>
      <c r="R1296" t="n">
        <v>0.001694</v>
      </c>
      <c r="S1296">
        <f>IMAGE("https://mitra.stanford.edu/kundaje/oak/projects/neuro-variants/variant_position/credible/roussos_2024/variant_figures/roussos_2024.infant.GLU/rs2957581_count_position.png",4,220,900)</f>
        <v/>
      </c>
      <c r="T1296">
        <f>IMAGE("https://mitra.stanford.edu/kundaje/oak/projects/neuro-variants/variant_position/credible/roussos_2024/variant_figures/roussos_2024.infant.GLU/rs2957581_profile_position.png",4,220,900)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-0.027764653</v>
      </c>
      <c r="G1297" t="n">
        <v>0.3416261165639616</v>
      </c>
      <c r="H1297" t="n">
        <v>0.0102904065694957</v>
      </c>
      <c r="I1297" t="n">
        <v>0.7074574429420256</v>
      </c>
      <c r="J1297" t="n">
        <v>0.004963733768381</v>
      </c>
      <c r="K1297" t="n">
        <v>0.7554671473666499</v>
      </c>
      <c r="L1297" t="b">
        <v>0</v>
      </c>
      <c r="M1297" t="b">
        <v>0</v>
      </c>
      <c r="N1297" t="inlineStr">
        <is>
          <t>ref</t>
        </is>
      </c>
      <c r="O1297" t="n">
        <v>-75</v>
      </c>
      <c r="P1297" t="n">
        <v>0.08966</v>
      </c>
      <c r="Q1297" t="n">
        <v>90</v>
      </c>
      <c r="R1297" t="n">
        <v>0.01526</v>
      </c>
      <c r="S1297">
        <f>IMAGE("https://mitra.stanford.edu/kundaje/oak/projects/neuro-variants/variant_position/credible/roussos_2024/variant_figures/roussos_2024.infant.GLU/rs2615285_count_position.png",4,220,900)</f>
        <v/>
      </c>
      <c r="T1297">
        <f>IMAGE("https://mitra.stanford.edu/kundaje/oak/projects/neuro-variants/variant_position/credible/roussos_2024/variant_figures/roussos_2024.infant.GLU/rs2615285_profile_position.png",4,220,900)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0.0119688735999999</v>
      </c>
      <c r="G1298" t="n">
        <v>0.588368873843464</v>
      </c>
      <c r="H1298" t="n">
        <v>0.0378240972167328</v>
      </c>
      <c r="I1298" t="n">
        <v>0.0252495676809805</v>
      </c>
      <c r="J1298" t="n">
        <v>0.0217387949469784</v>
      </c>
      <c r="K1298" t="n">
        <v>0.5248914091869848</v>
      </c>
      <c r="L1298" t="b">
        <v>0</v>
      </c>
      <c r="M1298" t="b">
        <v>0</v>
      </c>
      <c r="N1298" t="inlineStr">
        <is>
          <t>alt</t>
        </is>
      </c>
      <c r="O1298" t="n">
        <v>0</v>
      </c>
      <c r="P1298" t="n">
        <v>0</v>
      </c>
      <c r="Q1298" t="n">
        <v>-95</v>
      </c>
      <c r="R1298" t="n">
        <v>0.08246000000000001</v>
      </c>
      <c r="S1298">
        <f>IMAGE("https://mitra.stanford.edu/kundaje/oak/projects/neuro-variants/variant_position/credible/roussos_2024/variant_figures/roussos_2024.infant.GLU/rs2555385_count_position.png",4,220,900)</f>
        <v/>
      </c>
      <c r="T1298">
        <f>IMAGE("https://mitra.stanford.edu/kundaje/oak/projects/neuro-variants/variant_position/credible/roussos_2024/variant_figures/roussos_2024.infant.GLU/rs2555385_profile_position.png",4,220,900)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0.2241626199999999</v>
      </c>
      <c r="G1299" t="n">
        <v>0.0074546782616256</v>
      </c>
      <c r="H1299" t="n">
        <v>0.0457607341586318</v>
      </c>
      <c r="I1299" t="n">
        <v>0.0113860623988173</v>
      </c>
      <c r="J1299" t="n">
        <v>0.2133711060649485</v>
      </c>
      <c r="K1299" t="n">
        <v>0.1021775457310239</v>
      </c>
      <c r="L1299" t="b">
        <v>1</v>
      </c>
      <c r="M1299" t="b">
        <v>1</v>
      </c>
      <c r="N1299" t="inlineStr">
        <is>
          <t>alt</t>
        </is>
      </c>
      <c r="O1299" t="n">
        <v>-25</v>
      </c>
      <c r="P1299" t="n">
        <v>0.010376</v>
      </c>
      <c r="Q1299" t="n">
        <v>-20</v>
      </c>
      <c r="R1299" t="n">
        <v>0.1011</v>
      </c>
      <c r="S1299">
        <f>IMAGE("https://mitra.stanford.edu/kundaje/oak/projects/neuro-variants/variant_position/credible/roussos_2024/variant_figures/roussos_2024.infant.GLU/rs2114422_count_position.png",4,220,900)</f>
        <v/>
      </c>
      <c r="T1299">
        <f>IMAGE("https://mitra.stanford.edu/kundaje/oak/projects/neuro-variants/variant_position/credible/roussos_2024/variant_figures/roussos_2024.infant.GLU/rs2114422_profile_position.png",4,220,900)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-0.0385323259999999</v>
      </c>
      <c r="G1300" t="n">
        <v>0.2432784990407314</v>
      </c>
      <c r="H1300" t="n">
        <v>0.0608502346120228</v>
      </c>
      <c r="I1300" t="n">
        <v>0.0028478549824453</v>
      </c>
      <c r="J1300" t="n">
        <v>0.008124076809453399</v>
      </c>
      <c r="K1300" t="n">
        <v>0.6901025224387559</v>
      </c>
      <c r="L1300" t="b">
        <v>0</v>
      </c>
      <c r="M1300" t="b">
        <v>0</v>
      </c>
      <c r="N1300" t="inlineStr">
        <is>
          <t>ref</t>
        </is>
      </c>
      <c r="O1300" t="n">
        <v>-80</v>
      </c>
      <c r="P1300" t="n">
        <v>0.00708</v>
      </c>
      <c r="Q1300" t="n">
        <v>-65</v>
      </c>
      <c r="R1300" t="n">
        <v>0.0411</v>
      </c>
      <c r="S1300">
        <f>IMAGE("https://mitra.stanford.edu/kundaje/oak/projects/neuro-variants/variant_position/credible/roussos_2024/variant_figures/roussos_2024.infant.GLU/rs8042697_count_position.png",4,220,900)</f>
        <v/>
      </c>
      <c r="T1300">
        <f>IMAGE("https://mitra.stanford.edu/kundaje/oak/projects/neuro-variants/variant_position/credible/roussos_2024/variant_figures/roussos_2024.infant.GLU/rs8042697_profile_position.png",4,220,900)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0.0321968329</v>
      </c>
      <c r="G1301" t="n">
        <v>0.3123853625394298</v>
      </c>
      <c r="H1301" t="n">
        <v>0.0336635008704092</v>
      </c>
      <c r="I1301" t="n">
        <v>0.0388106531250088</v>
      </c>
      <c r="J1301" t="n">
        <v>0.0120802927754138</v>
      </c>
      <c r="K1301" t="n">
        <v>0.6272973185230154</v>
      </c>
      <c r="L1301" t="b">
        <v>0</v>
      </c>
      <c r="M1301" t="b">
        <v>0</v>
      </c>
      <c r="N1301" t="inlineStr">
        <is>
          <t>alt</t>
        </is>
      </c>
      <c r="O1301" t="n">
        <v>-80</v>
      </c>
      <c r="P1301" t="n">
        <v>0.2883</v>
      </c>
      <c r="Q1301" t="n">
        <v>-80</v>
      </c>
      <c r="R1301" t="n">
        <v>0.1224</v>
      </c>
      <c r="S1301">
        <f>IMAGE("https://mitra.stanford.edu/kundaje/oak/projects/neuro-variants/variant_position/credible/roussos_2024/variant_figures/roussos_2024.infant.GLU/rs2706472_count_position.png",4,220,900)</f>
        <v/>
      </c>
      <c r="T1301">
        <f>IMAGE("https://mitra.stanford.edu/kundaje/oak/projects/neuro-variants/variant_position/credible/roussos_2024/variant_figures/roussos_2024.infant.GLU/rs2706472_profile_position.png",4,220,900)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0.0371841128</v>
      </c>
      <c r="G1302" t="n">
        <v>0.2443058358973188</v>
      </c>
      <c r="H1302" t="n">
        <v>0.007100472883241</v>
      </c>
      <c r="I1302" t="n">
        <v>0.9521963226147686</v>
      </c>
      <c r="J1302" t="n">
        <v>0.1081836019312594</v>
      </c>
      <c r="K1302" t="n">
        <v>0.19804741382126</v>
      </c>
      <c r="L1302" t="b">
        <v>0</v>
      </c>
      <c r="M1302" t="b">
        <v>0</v>
      </c>
      <c r="N1302" t="inlineStr">
        <is>
          <t>alt</t>
        </is>
      </c>
      <c r="O1302" t="n">
        <v>-100</v>
      </c>
      <c r="P1302" t="n">
        <v>0.0315</v>
      </c>
      <c r="Q1302" t="n">
        <v>100</v>
      </c>
      <c r="R1302" t="n">
        <v>0.1627</v>
      </c>
      <c r="S1302">
        <f>IMAGE("https://mitra.stanford.edu/kundaje/oak/projects/neuro-variants/variant_position/credible/roussos_2024/variant_figures/roussos_2024.infant.GLU/rs1427281_count_position.png",4,220,900)</f>
        <v/>
      </c>
      <c r="T1302">
        <f>IMAGE("https://mitra.stanford.edu/kundaje/oak/projects/neuro-variants/variant_position/credible/roussos_2024/variant_figures/roussos_2024.infant.GLU/rs1427281_profile_position.png",4,220,900)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0.0459420206</v>
      </c>
      <c r="G1303" t="n">
        <v>0.1833669620255154</v>
      </c>
      <c r="H1303" t="n">
        <v>0.0451213183604257</v>
      </c>
      <c r="I1303" t="n">
        <v>0.012049057618368</v>
      </c>
      <c r="J1303" t="n">
        <v>0.0381743424678674</v>
      </c>
      <c r="K1303" t="n">
        <v>0.4018071638562114</v>
      </c>
      <c r="L1303" t="b">
        <v>1</v>
      </c>
      <c r="M1303" t="b">
        <v>0</v>
      </c>
      <c r="N1303" t="inlineStr">
        <is>
          <t>alt</t>
        </is>
      </c>
      <c r="O1303" t="n">
        <v>25</v>
      </c>
      <c r="P1303" t="n">
        <v>0.00598</v>
      </c>
      <c r="Q1303" t="n">
        <v>15</v>
      </c>
      <c r="R1303" t="n">
        <v>0.02258</v>
      </c>
      <c r="S1303">
        <f>IMAGE("https://mitra.stanford.edu/kundaje/oak/projects/neuro-variants/variant_position/credible/roussos_2024/variant_figures/roussos_2024.infant.GLU/rs74017282_count_position.png",4,220,900)</f>
        <v/>
      </c>
      <c r="T1303">
        <f>IMAGE("https://mitra.stanford.edu/kundaje/oak/projects/neuro-variants/variant_position/credible/roussos_2024/variant_figures/roussos_2024.infant.GLU/rs74017282_profile_position.png",4,220,900)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-0.098836352</v>
      </c>
      <c r="G1304" t="n">
        <v>0.072842578743003</v>
      </c>
      <c r="H1304" t="n">
        <v>0.020444066320089</v>
      </c>
      <c r="I1304" t="n">
        <v>0.1729004973257645</v>
      </c>
      <c r="J1304" t="n">
        <v>0.0453471196454948</v>
      </c>
      <c r="K1304" t="n">
        <v>0.3635706039912136</v>
      </c>
      <c r="L1304" t="b">
        <v>0</v>
      </c>
      <c r="M1304" t="b">
        <v>0</v>
      </c>
      <c r="N1304" t="inlineStr">
        <is>
          <t>ref</t>
        </is>
      </c>
      <c r="O1304" t="n">
        <v>5</v>
      </c>
      <c r="P1304" t="n">
        <v>0.00293</v>
      </c>
      <c r="Q1304" t="n">
        <v>-80</v>
      </c>
      <c r="R1304" t="n">
        <v>0.07227</v>
      </c>
      <c r="S1304">
        <f>IMAGE("https://mitra.stanford.edu/kundaje/oak/projects/neuro-variants/variant_position/credible/roussos_2024/variant_figures/roussos_2024.infant.GLU/rs12912003_count_position.png",4,220,900)</f>
        <v/>
      </c>
      <c r="T1304">
        <f>IMAGE("https://mitra.stanford.edu/kundaje/oak/projects/neuro-variants/variant_position/credible/roussos_2024/variant_figures/roussos_2024.infant.GLU/rs12912003_profile_position.png",4,220,900)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0.0536018386</v>
      </c>
      <c r="G1305" t="n">
        <v>0.1460587051226428</v>
      </c>
      <c r="H1305" t="n">
        <v>0.011183606640341</v>
      </c>
      <c r="I1305" t="n">
        <v>0.6252880557779084</v>
      </c>
      <c r="J1305" t="n">
        <v>0.145114530743623</v>
      </c>
      <c r="K1305" t="n">
        <v>0.1554787837279477</v>
      </c>
      <c r="L1305" t="b">
        <v>0</v>
      </c>
      <c r="M1305" t="b">
        <v>0</v>
      </c>
      <c r="N1305" t="inlineStr">
        <is>
          <t>alt</t>
        </is>
      </c>
      <c r="O1305" t="n">
        <v>-100</v>
      </c>
      <c r="P1305" t="n">
        <v>0.0774</v>
      </c>
      <c r="Q1305" t="n">
        <v>65</v>
      </c>
      <c r="R1305" t="n">
        <v>0.172</v>
      </c>
      <c r="S1305">
        <f>IMAGE("https://mitra.stanford.edu/kundaje/oak/projects/neuro-variants/variant_position/credible/roussos_2024/variant_figures/roussos_2024.infant.GLU/rs640704_count_position.png",4,220,900)</f>
        <v/>
      </c>
      <c r="T1305">
        <f>IMAGE("https://mitra.stanford.edu/kundaje/oak/projects/neuro-variants/variant_position/credible/roussos_2024/variant_figures/roussos_2024.infant.GLU/rs640704_profile_position.png",4,220,900)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-0.01061762842</v>
      </c>
      <c r="G1306" t="n">
        <v>0.6307144115039162</v>
      </c>
      <c r="H1306" t="n">
        <v>0.0228016001890919</v>
      </c>
      <c r="I1306" t="n">
        <v>0.1313095371552647</v>
      </c>
      <c r="J1306" t="n">
        <v>0.0344815802817521</v>
      </c>
      <c r="K1306" t="n">
        <v>0.4206137990190849</v>
      </c>
      <c r="L1306" t="b">
        <v>0</v>
      </c>
      <c r="M1306" t="b">
        <v>0</v>
      </c>
      <c r="N1306" t="inlineStr">
        <is>
          <t>ref</t>
        </is>
      </c>
      <c r="O1306" t="n">
        <v>100</v>
      </c>
      <c r="P1306" t="n">
        <v>0.000992</v>
      </c>
      <c r="Q1306" t="n">
        <v>-60</v>
      </c>
      <c r="R1306" t="n">
        <v>0.1973</v>
      </c>
      <c r="S1306">
        <f>IMAGE("https://mitra.stanford.edu/kundaje/oak/projects/neuro-variants/variant_position/credible/roussos_2024/variant_figures/roussos_2024.infant.GLU/rs12437952_count_position.png",4,220,900)</f>
        <v/>
      </c>
      <c r="T1306">
        <f>IMAGE("https://mitra.stanford.edu/kundaje/oak/projects/neuro-variants/variant_position/credible/roussos_2024/variant_figures/roussos_2024.infant.GLU/rs12437952_profile_position.png",4,220,900)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0.0168088204</v>
      </c>
      <c r="G1307" t="n">
        <v>0.4862405157516727</v>
      </c>
      <c r="H1307" t="n">
        <v>0.0180565178983643</v>
      </c>
      <c r="I1307" t="n">
        <v>0.238688779992117</v>
      </c>
      <c r="J1307" t="n">
        <v>0.0060693577900746</v>
      </c>
      <c r="K1307" t="n">
        <v>0.73416698788708</v>
      </c>
      <c r="L1307" t="b">
        <v>0</v>
      </c>
      <c r="M1307" t="b">
        <v>0</v>
      </c>
      <c r="N1307" t="inlineStr">
        <is>
          <t>alt</t>
        </is>
      </c>
      <c r="O1307" t="n">
        <v>75</v>
      </c>
      <c r="P1307" t="n">
        <v>0.00598</v>
      </c>
      <c r="Q1307" t="n">
        <v>70</v>
      </c>
      <c r="R1307" t="n">
        <v>0.0764</v>
      </c>
      <c r="S1307">
        <f>IMAGE("https://mitra.stanford.edu/kundaje/oak/projects/neuro-variants/variant_position/credible/roussos_2024/variant_figures/roussos_2024.infant.GLU/rs8025383_count_position.png",4,220,900)</f>
        <v/>
      </c>
      <c r="T1307">
        <f>IMAGE("https://mitra.stanford.edu/kundaje/oak/projects/neuro-variants/variant_position/credible/roussos_2024/variant_figures/roussos_2024.infant.GLU/rs8025383_profile_position.png",4,220,900)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-0.011935167738</v>
      </c>
      <c r="G1308" t="n">
        <v>0.6038235971563165</v>
      </c>
      <c r="H1308" t="n">
        <v>0.0361515176282315</v>
      </c>
      <c r="I1308" t="n">
        <v>0.0300977018007135</v>
      </c>
      <c r="J1308" t="n">
        <v>0.0240227959170175</v>
      </c>
      <c r="K1308" t="n">
        <v>0.4995506921408176</v>
      </c>
      <c r="L1308" t="b">
        <v>0</v>
      </c>
      <c r="M1308" t="b">
        <v>0</v>
      </c>
      <c r="N1308" t="inlineStr">
        <is>
          <t>ref</t>
        </is>
      </c>
      <c r="O1308" t="n">
        <v>-90</v>
      </c>
      <c r="P1308" t="n">
        <v>0.03995</v>
      </c>
      <c r="Q1308" t="n">
        <v>-100</v>
      </c>
      <c r="R1308" t="n">
        <v>0.10986</v>
      </c>
      <c r="S1308">
        <f>IMAGE("https://mitra.stanford.edu/kundaje/oak/projects/neuro-variants/variant_position/credible/roussos_2024/variant_figures/roussos_2024.infant.GLU/rs474875_count_position.png",4,220,900)</f>
        <v/>
      </c>
      <c r="T1308">
        <f>IMAGE("https://mitra.stanford.edu/kundaje/oak/projects/neuro-variants/variant_position/credible/roussos_2024/variant_figures/roussos_2024.infant.GLU/rs474875_profile_position.png",4,220,900)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-0.009706536599999999</v>
      </c>
      <c r="G1309" t="n">
        <v>0.6481619149656815</v>
      </c>
      <c r="H1309" t="n">
        <v>0.0316124035583451</v>
      </c>
      <c r="I1309" t="n">
        <v>0.048324171149525</v>
      </c>
      <c r="J1309" t="n">
        <v>0.0108655393637425</v>
      </c>
      <c r="K1309" t="n">
        <v>0.6437785818435263</v>
      </c>
      <c r="L1309" t="b">
        <v>0</v>
      </c>
      <c r="M1309" t="b">
        <v>0</v>
      </c>
      <c r="N1309" t="inlineStr">
        <is>
          <t>ref</t>
        </is>
      </c>
      <c r="O1309" t="n">
        <v>-65</v>
      </c>
      <c r="P1309" t="n">
        <v>0.0303</v>
      </c>
      <c r="Q1309" t="n">
        <v>100</v>
      </c>
      <c r="R1309" t="n">
        <v>0.1769</v>
      </c>
      <c r="S1309">
        <f>IMAGE("https://mitra.stanford.edu/kundaje/oak/projects/neuro-variants/variant_position/credible/roussos_2024/variant_figures/roussos_2024.infant.GLU/rs793571_count_position.png",4,220,900)</f>
        <v/>
      </c>
      <c r="T1309">
        <f>IMAGE("https://mitra.stanford.edu/kundaje/oak/projects/neuro-variants/variant_position/credible/roussos_2024/variant_figures/roussos_2024.infant.GLU/rs793571_profile_position.png",4,220,900)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-0.0098377984</v>
      </c>
      <c r="G1310" t="n">
        <v>0.6428127176038585</v>
      </c>
      <c r="H1310" t="n">
        <v>0.010670065038105</v>
      </c>
      <c r="I1310" t="n">
        <v>0.6726139804142551</v>
      </c>
      <c r="J1310" t="n">
        <v>0.0033852157234506</v>
      </c>
      <c r="K1310" t="n">
        <v>0.7979779636799074</v>
      </c>
      <c r="L1310" t="b">
        <v>0</v>
      </c>
      <c r="M1310" t="b">
        <v>0</v>
      </c>
      <c r="N1310" t="inlineStr">
        <is>
          <t>ref</t>
        </is>
      </c>
      <c r="O1310" t="n">
        <v>-35</v>
      </c>
      <c r="P1310" t="n">
        <v>0.03857</v>
      </c>
      <c r="Q1310" t="n">
        <v>-20</v>
      </c>
      <c r="R1310" t="n">
        <v>0.01819</v>
      </c>
      <c r="S1310">
        <f>IMAGE("https://mitra.stanford.edu/kundaje/oak/projects/neuro-variants/variant_position/credible/roussos_2024/variant_figures/roussos_2024.infant.GLU/rs7179456_count_position.png",4,220,900)</f>
        <v/>
      </c>
      <c r="T1310">
        <f>IMAGE("https://mitra.stanford.edu/kundaje/oak/projects/neuro-variants/variant_position/credible/roussos_2024/variant_figures/roussos_2024.infant.GLU/rs7179456_profile_position.png",4,220,900)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0.11321658</v>
      </c>
      <c r="G1311" t="n">
        <v>0.0399359720069777</v>
      </c>
      <c r="H1311" t="n">
        <v>0.06462583407577339</v>
      </c>
      <c r="I1311" t="n">
        <v>0.0021080057280855</v>
      </c>
      <c r="J1311" t="n">
        <v>0.4951597257435128</v>
      </c>
      <c r="K1311" t="n">
        <v>0.0313098878334845</v>
      </c>
      <c r="L1311" t="b">
        <v>1</v>
      </c>
      <c r="M1311" t="b">
        <v>1</v>
      </c>
      <c r="N1311" t="inlineStr">
        <is>
          <t>alt</t>
        </is>
      </c>
      <c r="O1311" t="n">
        <v>-65</v>
      </c>
      <c r="P1311" t="n">
        <v>0.03967</v>
      </c>
      <c r="Q1311" t="n">
        <v>-100</v>
      </c>
      <c r="R1311" t="n">
        <v>0.5356</v>
      </c>
      <c r="S1311">
        <f>IMAGE("https://mitra.stanford.edu/kundaje/oak/projects/neuro-variants/variant_position/credible/roussos_2024/variant_figures/roussos_2024.infant.GLU/rs2270664_count_position.png",4,220,900)</f>
        <v/>
      </c>
      <c r="T1311">
        <f>IMAGE("https://mitra.stanford.edu/kundaje/oak/projects/neuro-variants/variant_position/credible/roussos_2024/variant_figures/roussos_2024.infant.GLU/rs2270664_profile_position.png",4,220,900)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-0.0294211572</v>
      </c>
      <c r="G1312" t="n">
        <v>0.3310726451984885</v>
      </c>
      <c r="H1312" t="n">
        <v>0.0381542733349257</v>
      </c>
      <c r="I1312" t="n">
        <v>0.024489309463008</v>
      </c>
      <c r="J1312" t="n">
        <v>0.0043001388919508</v>
      </c>
      <c r="K1312" t="n">
        <v>0.798711454570188</v>
      </c>
      <c r="L1312" t="b">
        <v>0</v>
      </c>
      <c r="M1312" t="b">
        <v>0</v>
      </c>
      <c r="N1312" t="inlineStr">
        <is>
          <t>ref</t>
        </is>
      </c>
      <c r="O1312" t="n">
        <v>-100</v>
      </c>
      <c r="P1312" t="n">
        <v>0.02188</v>
      </c>
      <c r="Q1312" t="n">
        <v>85</v>
      </c>
      <c r="R1312" t="n">
        <v>0.03723</v>
      </c>
      <c r="S1312">
        <f>IMAGE("https://mitra.stanford.edu/kundaje/oak/projects/neuro-variants/variant_position/credible/roussos_2024/variant_figures/roussos_2024.infant.GLU/rs11071400_count_position.png",4,220,900)</f>
        <v/>
      </c>
      <c r="T1312">
        <f>IMAGE("https://mitra.stanford.edu/kundaje/oak/projects/neuro-variants/variant_position/credible/roussos_2024/variant_figures/roussos_2024.infant.GLU/rs11071400_profile_position.png",4,220,900)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0.0053786516</v>
      </c>
      <c r="G1313" t="n">
        <v>0.4148707010467707</v>
      </c>
      <c r="H1313" t="n">
        <v>0.0175720666610286</v>
      </c>
      <c r="I1313" t="n">
        <v>0.2533844693816721</v>
      </c>
      <c r="J1313" t="n">
        <v>0.0899766308781057</v>
      </c>
      <c r="K1313" t="n">
        <v>0.2361580490565723</v>
      </c>
      <c r="L1313" t="b">
        <v>0</v>
      </c>
      <c r="M1313" t="b">
        <v>0</v>
      </c>
      <c r="N1313" t="inlineStr">
        <is>
          <t>alt</t>
        </is>
      </c>
      <c r="O1313" t="n">
        <v>-70</v>
      </c>
      <c r="P1313" t="n">
        <v>0.1029</v>
      </c>
      <c r="Q1313" t="n">
        <v>-65</v>
      </c>
      <c r="R1313" t="n">
        <v>0.0974</v>
      </c>
      <c r="S1313">
        <f>IMAGE("https://mitra.stanford.edu/kundaje/oak/projects/neuro-variants/variant_position/credible/roussos_2024/variant_figures/roussos_2024.infant.GLU/rs11857223_count_position.png",4,220,900)</f>
        <v/>
      </c>
      <c r="T1313">
        <f>IMAGE("https://mitra.stanford.edu/kundaje/oak/projects/neuro-variants/variant_position/credible/roussos_2024/variant_figures/roussos_2024.infant.GLU/rs11857223_profile_position.png",4,220,900)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-0.00405156436</v>
      </c>
      <c r="G1314" t="n">
        <v>0.8037019196077835</v>
      </c>
      <c r="H1314" t="n">
        <v>0.012023469248959</v>
      </c>
      <c r="I1314" t="n">
        <v>0.5573217365293871</v>
      </c>
      <c r="J1314" t="n">
        <v>0.0855331907669921</v>
      </c>
      <c r="K1314" t="n">
        <v>0.2336480351007531</v>
      </c>
      <c r="L1314" t="b">
        <v>0</v>
      </c>
      <c r="M1314" t="b">
        <v>0</v>
      </c>
      <c r="N1314" t="inlineStr">
        <is>
          <t>ref</t>
        </is>
      </c>
      <c r="O1314" t="n">
        <v>-100</v>
      </c>
      <c r="P1314" t="n">
        <v>0.0329</v>
      </c>
      <c r="Q1314" t="n">
        <v>5</v>
      </c>
      <c r="R1314" t="n">
        <v>0.014404</v>
      </c>
      <c r="S1314">
        <f>IMAGE("https://mitra.stanford.edu/kundaje/oak/projects/neuro-variants/variant_position/credible/roussos_2024/variant_figures/roussos_2024.infant.GLU/rs4774315_count_position.png",4,220,900)</f>
        <v/>
      </c>
      <c r="T1314">
        <f>IMAGE("https://mitra.stanford.edu/kundaje/oak/projects/neuro-variants/variant_position/credible/roussos_2024/variant_figures/roussos_2024.infant.GLU/rs4774315_profile_position.png",4,220,900)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0.01943355494</v>
      </c>
      <c r="G1315" t="n">
        <v>0.4622334812360691</v>
      </c>
      <c r="H1315" t="n">
        <v>0.010034770613995</v>
      </c>
      <c r="I1315" t="n">
        <v>0.737317275491486</v>
      </c>
      <c r="J1315" t="n">
        <v>0.0165149143499635</v>
      </c>
      <c r="K1315" t="n">
        <v>0.5721860065809705</v>
      </c>
      <c r="L1315" t="b">
        <v>0</v>
      </c>
      <c r="M1315" t="b">
        <v>0</v>
      </c>
      <c r="N1315" t="inlineStr">
        <is>
          <t>alt</t>
        </is>
      </c>
      <c r="O1315" t="n">
        <v>-35</v>
      </c>
      <c r="P1315" t="n">
        <v>0.01686</v>
      </c>
      <c r="Q1315" t="n">
        <v>50</v>
      </c>
      <c r="R1315" t="n">
        <v>0.09656000000000001</v>
      </c>
      <c r="S1315">
        <f>IMAGE("https://mitra.stanford.edu/kundaje/oak/projects/neuro-variants/variant_position/credible/roussos_2024/variant_figures/roussos_2024.infant.GLU/rs4775106_count_position.png",4,220,900)</f>
        <v/>
      </c>
      <c r="T1315">
        <f>IMAGE("https://mitra.stanford.edu/kundaje/oak/projects/neuro-variants/variant_position/credible/roussos_2024/variant_figures/roussos_2024.infant.GLU/rs4775106_profile_position.png",4,220,900)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0.0625394232</v>
      </c>
      <c r="G1316" t="n">
        <v>0.1178707302266831</v>
      </c>
      <c r="H1316" t="n">
        <v>0.0356327026800391</v>
      </c>
      <c r="I1316" t="n">
        <v>0.0318580634790621</v>
      </c>
      <c r="J1316" t="n">
        <v>0.0564650896183777</v>
      </c>
      <c r="K1316" t="n">
        <v>0.3228131449484466</v>
      </c>
      <c r="L1316" t="b">
        <v>0</v>
      </c>
      <c r="M1316" t="b">
        <v>0</v>
      </c>
      <c r="N1316" t="inlineStr">
        <is>
          <t>alt</t>
        </is>
      </c>
      <c r="O1316" t="n">
        <v>-75</v>
      </c>
      <c r="P1316" t="n">
        <v>0.00873</v>
      </c>
      <c r="Q1316" t="n">
        <v>65</v>
      </c>
      <c r="R1316" t="n">
        <v>0.02461</v>
      </c>
      <c r="S1316">
        <f>IMAGE("https://mitra.stanford.edu/kundaje/oak/projects/neuro-variants/variant_position/credible/roussos_2024/variant_figures/roussos_2024.infant.GLU/rs8042896_count_position.png",4,220,900)</f>
        <v/>
      </c>
      <c r="T1316">
        <f>IMAGE("https://mitra.stanford.edu/kundaje/oak/projects/neuro-variants/variant_position/credible/roussos_2024/variant_figures/roussos_2024.infant.GLU/rs8042896_profile_position.png",4,220,900)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0.0629030211999999</v>
      </c>
      <c r="G1317" t="n">
        <v>0.114357025494039</v>
      </c>
      <c r="H1317" t="n">
        <v>0.06997548408281121</v>
      </c>
      <c r="I1317" t="n">
        <v>0.0013551920588962</v>
      </c>
      <c r="J1317" t="n">
        <v>0.0180890231266121</v>
      </c>
      <c r="K1317" t="n">
        <v>0.5581583762291278</v>
      </c>
      <c r="L1317" t="b">
        <v>1</v>
      </c>
      <c r="M1317" t="b">
        <v>0</v>
      </c>
      <c r="N1317" t="inlineStr">
        <is>
          <t>alt</t>
        </is>
      </c>
      <c r="O1317" t="n">
        <v>45</v>
      </c>
      <c r="P1317" t="n">
        <v>0.01221</v>
      </c>
      <c r="Q1317" t="n">
        <v>100</v>
      </c>
      <c r="R1317" t="n">
        <v>0.06836</v>
      </c>
      <c r="S1317">
        <f>IMAGE("https://mitra.stanford.edu/kundaje/oak/projects/neuro-variants/variant_position/credible/roussos_2024/variant_figures/roussos_2024.infant.GLU/rs78352043_count_position.png",4,220,900)</f>
        <v/>
      </c>
      <c r="T1317">
        <f>IMAGE("https://mitra.stanford.edu/kundaje/oak/projects/neuro-variants/variant_position/credible/roussos_2024/variant_figures/roussos_2024.infant.GLU/rs78352043_profile_position.png",4,220,900)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0.06818602460000001</v>
      </c>
      <c r="G1318" t="n">
        <v>0.1205042189329424</v>
      </c>
      <c r="H1318" t="n">
        <v>0.0175929919523829</v>
      </c>
      <c r="I1318" t="n">
        <v>0.2570804807116293</v>
      </c>
      <c r="J1318" t="n">
        <v>0.0103871337551532</v>
      </c>
      <c r="K1318" t="n">
        <v>0.6801610094770049</v>
      </c>
      <c r="L1318" t="b">
        <v>0</v>
      </c>
      <c r="M1318" t="b">
        <v>0</v>
      </c>
      <c r="N1318" t="inlineStr">
        <is>
          <t>alt</t>
        </is>
      </c>
      <c r="O1318" t="n">
        <v>55</v>
      </c>
      <c r="P1318" t="n">
        <v>0.01131</v>
      </c>
      <c r="Q1318" t="n">
        <v>70</v>
      </c>
      <c r="R1318" t="n">
        <v>0.1891</v>
      </c>
      <c r="S1318">
        <f>IMAGE("https://mitra.stanford.edu/kundaje/oak/projects/neuro-variants/variant_position/credible/roussos_2024/variant_figures/roussos_2024.infant.GLU/rs11633501_count_position.png",4,220,900)</f>
        <v/>
      </c>
      <c r="T1318">
        <f>IMAGE("https://mitra.stanford.edu/kundaje/oak/projects/neuro-variants/variant_position/credible/roussos_2024/variant_figures/roussos_2024.infant.GLU/rs11633501_profile_position.png",4,220,900)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-0.0915815098</v>
      </c>
      <c r="G1319" t="n">
        <v>0.0642645179716084</v>
      </c>
      <c r="H1319" t="n">
        <v>0.0118621574392603</v>
      </c>
      <c r="I1319" t="n">
        <v>0.5556260864763221</v>
      </c>
      <c r="J1319" t="n">
        <v>0.0320741197998192</v>
      </c>
      <c r="K1319" t="n">
        <v>0.4416362145218574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0.014854</v>
      </c>
      <c r="Q1319" t="n">
        <v>-55</v>
      </c>
      <c r="R1319" t="n">
        <v>0.0514</v>
      </c>
      <c r="S1319">
        <f>IMAGE("https://mitra.stanford.edu/kundaje/oak/projects/neuro-variants/variant_position/credible/roussos_2024/variant_figures/roussos_2024.infant.GLU/rs4635285_count_position.png",4,220,900)</f>
        <v/>
      </c>
      <c r="T1319">
        <f>IMAGE("https://mitra.stanford.edu/kundaje/oak/projects/neuro-variants/variant_position/credible/roussos_2024/variant_figures/roussos_2024.infant.GLU/rs4635285_profile_position.png",4,220,900)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0.1015072826</v>
      </c>
      <c r="G1320" t="n">
        <v>0.0556134401308284</v>
      </c>
      <c r="H1320" t="n">
        <v>0.0243381988226062</v>
      </c>
      <c r="I1320" t="n">
        <v>0.1129841261247537</v>
      </c>
      <c r="J1320" t="n">
        <v>0.2579598315659516</v>
      </c>
      <c r="K1320" t="n">
        <v>0.0826265110301799</v>
      </c>
      <c r="L1320" t="b">
        <v>0</v>
      </c>
      <c r="M1320" t="b">
        <v>0</v>
      </c>
      <c r="N1320" t="inlineStr">
        <is>
          <t>alt</t>
        </is>
      </c>
      <c r="O1320" t="n">
        <v>-50</v>
      </c>
      <c r="P1320" t="n">
        <v>0.006287</v>
      </c>
      <c r="Q1320" t="n">
        <v>-45</v>
      </c>
      <c r="R1320" t="n">
        <v>0.0459</v>
      </c>
      <c r="S1320">
        <f>IMAGE("https://mitra.stanford.edu/kundaje/oak/projects/neuro-variants/variant_position/credible/roussos_2024/variant_figures/roussos_2024.infant.GLU/rs55835773_count_position.png",4,220,900)</f>
        <v/>
      </c>
      <c r="T1320">
        <f>IMAGE("https://mitra.stanford.edu/kundaje/oak/projects/neuro-variants/variant_position/credible/roussos_2024/variant_figures/roussos_2024.infant.GLU/rs55835773_profile_position.png",4,220,900)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0.0896666654</v>
      </c>
      <c r="G1321" t="n">
        <v>0.0716692966967305</v>
      </c>
      <c r="H1321" t="n">
        <v>0.0216030566046885</v>
      </c>
      <c r="I1321" t="n">
        <v>0.1568751608375561</v>
      </c>
      <c r="J1321" t="n">
        <v>0.2483112502480213</v>
      </c>
      <c r="K1321" t="n">
        <v>0.0886864153113656</v>
      </c>
      <c r="L1321" t="b">
        <v>0</v>
      </c>
      <c r="M1321" t="b">
        <v>0</v>
      </c>
      <c r="N1321" t="inlineStr">
        <is>
          <t>alt</t>
        </is>
      </c>
      <c r="O1321" t="n">
        <v>-65</v>
      </c>
      <c r="P1321" t="n">
        <v>0.006226</v>
      </c>
      <c r="Q1321" t="n">
        <v>-50</v>
      </c>
      <c r="R1321" t="n">
        <v>0.09180000000000001</v>
      </c>
      <c r="S1321">
        <f>IMAGE("https://mitra.stanford.edu/kundaje/oak/projects/neuro-variants/variant_position/credible/roussos_2024/variant_figures/roussos_2024.infant.GLU/rs55835940_count_position.png",4,220,900)</f>
        <v/>
      </c>
      <c r="T1321">
        <f>IMAGE("https://mitra.stanford.edu/kundaje/oak/projects/neuro-variants/variant_position/credible/roussos_2024/variant_figures/roussos_2024.infant.GLU/rs55835940_profile_position.png",4,220,900)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-0.0485880888</v>
      </c>
      <c r="G1322" t="n">
        <v>0.1844881340156646</v>
      </c>
      <c r="H1322" t="n">
        <v>0.0160851743297048</v>
      </c>
      <c r="I1322" t="n">
        <v>0.3094824595640219</v>
      </c>
      <c r="J1322" t="n">
        <v>0.4298992482197579</v>
      </c>
      <c r="K1322" t="n">
        <v>0.0401575669350007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0.10986</v>
      </c>
      <c r="Q1322" t="n">
        <v>100</v>
      </c>
      <c r="R1322" t="n">
        <v>0.3171</v>
      </c>
      <c r="S1322">
        <f>IMAGE("https://mitra.stanford.edu/kundaje/oak/projects/neuro-variants/variant_position/credible/roussos_2024/variant_figures/roussos_2024.infant.GLU/rs7169676_count_position.png",4,220,900)</f>
        <v/>
      </c>
      <c r="T1322">
        <f>IMAGE("https://mitra.stanford.edu/kundaje/oak/projects/neuro-variants/variant_position/credible/roussos_2024/variant_figures/roussos_2024.infant.GLU/rs7169676_profile_position.png",4,220,900)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0.4212998719999999</v>
      </c>
      <c r="G1323" t="n">
        <v>0.0009651908335593</v>
      </c>
      <c r="H1323" t="n">
        <v>0.0500810426431599</v>
      </c>
      <c r="I1323" t="n">
        <v>0.0077571321607802</v>
      </c>
      <c r="J1323" t="n">
        <v>0.0372880795431997</v>
      </c>
      <c r="K1323" t="n">
        <v>0.4123067270126582</v>
      </c>
      <c r="L1323" t="b">
        <v>1</v>
      </c>
      <c r="M1323" t="b">
        <v>1</v>
      </c>
      <c r="N1323" t="inlineStr">
        <is>
          <t>alt</t>
        </is>
      </c>
      <c r="O1323" t="n">
        <v>-90</v>
      </c>
      <c r="P1323" t="n">
        <v>0.01264</v>
      </c>
      <c r="Q1323" t="n">
        <v>-50</v>
      </c>
      <c r="R1323" t="n">
        <v>0.09130000000000001</v>
      </c>
      <c r="S1323">
        <f>IMAGE("https://mitra.stanford.edu/kundaje/oak/projects/neuro-variants/variant_position/credible/roussos_2024/variant_figures/roussos_2024.infant.GLU/rs28620094_count_position.png",4,220,900)</f>
        <v/>
      </c>
      <c r="T1323">
        <f>IMAGE("https://mitra.stanford.edu/kundaje/oak/projects/neuro-variants/variant_position/credible/roussos_2024/variant_figures/roussos_2024.infant.GLU/rs28620094_profile_position.png",4,220,900)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-0.027650717</v>
      </c>
      <c r="G1324" t="n">
        <v>0.3506539810679923</v>
      </c>
      <c r="H1324" t="n">
        <v>0.0103150190863401</v>
      </c>
      <c r="I1324" t="n">
        <v>0.7045125023330788</v>
      </c>
      <c r="J1324" t="n">
        <v>0.0021991225556118</v>
      </c>
      <c r="K1324" t="n">
        <v>0.8484102545667398</v>
      </c>
      <c r="L1324" t="b">
        <v>0</v>
      </c>
      <c r="M1324" t="b">
        <v>0</v>
      </c>
      <c r="N1324" t="inlineStr">
        <is>
          <t>ref</t>
        </is>
      </c>
      <c r="O1324" t="n">
        <v>40</v>
      </c>
      <c r="P1324" t="n">
        <v>0.003387</v>
      </c>
      <c r="Q1324" t="n">
        <v>-45</v>
      </c>
      <c r="R1324" t="n">
        <v>0.1704</v>
      </c>
      <c r="S1324">
        <f>IMAGE("https://mitra.stanford.edu/kundaje/oak/projects/neuro-variants/variant_position/credible/roussos_2024/variant_figures/roussos_2024.infant.GLU/rs1971791_count_position.png",4,220,900)</f>
        <v/>
      </c>
      <c r="T1324">
        <f>IMAGE("https://mitra.stanford.edu/kundaje/oak/projects/neuro-variants/variant_position/credible/roussos_2024/variant_figures/roussos_2024.infant.GLU/rs1971791_profile_position.png",4,220,900)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0.0558602359999999</v>
      </c>
      <c r="G1325" t="n">
        <v>0.1371760164399942</v>
      </c>
      <c r="H1325" t="n">
        <v>0.0163160470357749</v>
      </c>
      <c r="I1325" t="n">
        <v>0.2989520525958882</v>
      </c>
      <c r="J1325" t="n">
        <v>0.0226526157984081</v>
      </c>
      <c r="K1325" t="n">
        <v>0.517121813132091</v>
      </c>
      <c r="L1325" t="b">
        <v>0</v>
      </c>
      <c r="M1325" t="b">
        <v>0</v>
      </c>
      <c r="N1325" t="inlineStr">
        <is>
          <t>alt</t>
        </is>
      </c>
      <c r="O1325" t="n">
        <v>100</v>
      </c>
      <c r="P1325" t="n">
        <v>0.003622</v>
      </c>
      <c r="Q1325" t="n">
        <v>-45</v>
      </c>
      <c r="R1325" t="n">
        <v>0.03638</v>
      </c>
      <c r="S1325">
        <f>IMAGE("https://mitra.stanford.edu/kundaje/oak/projects/neuro-variants/variant_position/credible/roussos_2024/variant_figures/roussos_2024.infant.GLU/rs2415092_count_position.png",4,220,900)</f>
        <v/>
      </c>
      <c r="T1325">
        <f>IMAGE("https://mitra.stanford.edu/kundaje/oak/projects/neuro-variants/variant_position/credible/roussos_2024/variant_figures/roussos_2024.infant.GLU/rs2415092_profile_position.png",4,220,900)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0.01558579114</v>
      </c>
      <c r="G1326" t="n">
        <v>0.5243451782811211</v>
      </c>
      <c r="H1326" t="n">
        <v>0.009099353768086399</v>
      </c>
      <c r="I1326" t="n">
        <v>0.808348885741169</v>
      </c>
      <c r="J1326" t="n">
        <v>0.0160376110584448</v>
      </c>
      <c r="K1326" t="n">
        <v>0.574325421824171</v>
      </c>
      <c r="L1326" t="b">
        <v>0</v>
      </c>
      <c r="M1326" t="b">
        <v>0</v>
      </c>
      <c r="N1326" t="inlineStr">
        <is>
          <t>alt</t>
        </is>
      </c>
      <c r="O1326" t="n">
        <v>-60</v>
      </c>
      <c r="P1326" t="n">
        <v>0.05957</v>
      </c>
      <c r="Q1326" t="n">
        <v>-50</v>
      </c>
      <c r="R1326" t="n">
        <v>0.06560000000000001</v>
      </c>
      <c r="S1326">
        <f>IMAGE("https://mitra.stanford.edu/kundaje/oak/projects/neuro-variants/variant_position/credible/roussos_2024/variant_figures/roussos_2024.infant.GLU/rs2915695_count_position.png",4,220,900)</f>
        <v/>
      </c>
      <c r="T1326">
        <f>IMAGE("https://mitra.stanford.edu/kundaje/oak/projects/neuro-variants/variant_position/credible/roussos_2024/variant_figures/roussos_2024.infant.GLU/rs2915695_profile_position.png",4,220,900)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0.0500598075999999</v>
      </c>
      <c r="G1327" t="n">
        <v>0.1754938177852439</v>
      </c>
      <c r="H1327" t="n">
        <v>0.007815018269921</v>
      </c>
      <c r="I1327" t="n">
        <v>0.9213615221471664</v>
      </c>
      <c r="J1327" t="n">
        <v>0.0175874688595427</v>
      </c>
      <c r="K1327" t="n">
        <v>0.5558997338792426</v>
      </c>
      <c r="L1327" t="b">
        <v>0</v>
      </c>
      <c r="M1327" t="b">
        <v>0</v>
      </c>
      <c r="N1327" t="inlineStr">
        <is>
          <t>alt</t>
        </is>
      </c>
      <c r="O1327" t="n">
        <v>-50</v>
      </c>
      <c r="P1327" t="n">
        <v>0.0109</v>
      </c>
      <c r="Q1327" t="n">
        <v>100</v>
      </c>
      <c r="R1327" t="n">
        <v>0.03326</v>
      </c>
      <c r="S1327">
        <f>IMAGE("https://mitra.stanford.edu/kundaje/oak/projects/neuro-variants/variant_position/credible/roussos_2024/variant_figures/roussos_2024.infant.GLU/rs667282_count_position.png",4,220,900)</f>
        <v/>
      </c>
      <c r="T1327">
        <f>IMAGE("https://mitra.stanford.edu/kundaje/oak/projects/neuro-variants/variant_position/credible/roussos_2024/variant_figures/roussos_2024.infant.GLU/rs667282_profile_position.png",4,220,900)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0.0566387722</v>
      </c>
      <c r="G1328" t="n">
        <v>0.1383025220187053</v>
      </c>
      <c r="H1328" t="n">
        <v>0.0182028296205043</v>
      </c>
      <c r="I1328" t="n">
        <v>0.2323096134644398</v>
      </c>
      <c r="J1328" t="n">
        <v>0.0434004276990232</v>
      </c>
      <c r="K1328" t="n">
        <v>0.3768449041738343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0.001999</v>
      </c>
      <c r="Q1328" t="n">
        <v>45</v>
      </c>
      <c r="R1328" t="n">
        <v>0.0609</v>
      </c>
      <c r="S1328">
        <f>IMAGE("https://mitra.stanford.edu/kundaje/oak/projects/neuro-variants/variant_position/credible/roussos_2024/variant_figures/roussos_2024.infant.GLU/rs3743078_count_position.png",4,220,900)</f>
        <v/>
      </c>
      <c r="T1328">
        <f>IMAGE("https://mitra.stanford.edu/kundaje/oak/projects/neuro-variants/variant_position/credible/roussos_2024/variant_figures/roussos_2024.infant.GLU/rs3743078_profile_position.png",4,220,900)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-0.215697838</v>
      </c>
      <c r="G1329" t="n">
        <v>0.0094072252535511</v>
      </c>
      <c r="H1329" t="n">
        <v>0.0288027998143904</v>
      </c>
      <c r="I1329" t="n">
        <v>0.0671776141250561</v>
      </c>
      <c r="J1329" t="n">
        <v>0.0429892634317334</v>
      </c>
      <c r="K1329" t="n">
        <v>0.3885354251282641</v>
      </c>
      <c r="L1329" t="b">
        <v>1</v>
      </c>
      <c r="M1329" t="b">
        <v>1</v>
      </c>
      <c r="N1329" t="inlineStr">
        <is>
          <t>ref</t>
        </is>
      </c>
      <c r="O1329" t="n">
        <v>100</v>
      </c>
      <c r="P1329" t="n">
        <v>0.01665</v>
      </c>
      <c r="Q1329" t="n">
        <v>65</v>
      </c>
      <c r="R1329" t="n">
        <v>0.0631</v>
      </c>
      <c r="S1329">
        <f>IMAGE("https://mitra.stanford.edu/kundaje/oak/projects/neuro-variants/variant_position/credible/roussos_2024/variant_figures/roussos_2024.infant.GLU/rs3825845_count_position.png",4,220,900)</f>
        <v/>
      </c>
      <c r="T1329">
        <f>IMAGE("https://mitra.stanford.edu/kundaje/oak/projects/neuro-variants/variant_position/credible/roussos_2024/variant_figures/roussos_2024.infant.GLU/rs3825845_profile_position.png",4,220,900)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0.080654685</v>
      </c>
      <c r="G1330" t="n">
        <v>0.0738864018507441</v>
      </c>
      <c r="H1330" t="n">
        <v>0.0106670871564348</v>
      </c>
      <c r="I1330" t="n">
        <v>0.6771929762864898</v>
      </c>
      <c r="J1330" t="n">
        <v>0.2367490464957339</v>
      </c>
      <c r="K1330" t="n">
        <v>0.09070917276365879</v>
      </c>
      <c r="L1330" t="b">
        <v>0</v>
      </c>
      <c r="M1330" t="b">
        <v>0</v>
      </c>
      <c r="N1330" t="inlineStr">
        <is>
          <t>alt</t>
        </is>
      </c>
      <c r="O1330" t="n">
        <v>100</v>
      </c>
      <c r="P1330" t="n">
        <v>0.005707</v>
      </c>
      <c r="Q1330" t="n">
        <v>65</v>
      </c>
      <c r="R1330" t="n">
        <v>0.2078</v>
      </c>
      <c r="S1330">
        <f>IMAGE("https://mitra.stanford.edu/kundaje/oak/projects/neuro-variants/variant_position/credible/roussos_2024/variant_figures/roussos_2024.infant.GLU/rs698500_count_position.png",4,220,900)</f>
        <v/>
      </c>
      <c r="T1330">
        <f>IMAGE("https://mitra.stanford.edu/kundaje/oak/projects/neuro-variants/variant_position/credible/roussos_2024/variant_figures/roussos_2024.infant.GLU/rs698500_profile_position.png",4,220,900)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0.0119547781199999</v>
      </c>
      <c r="G1331" t="n">
        <v>0.5915568260862147</v>
      </c>
      <c r="H1331" t="n">
        <v>0.0438707010953471</v>
      </c>
      <c r="I1331" t="n">
        <v>0.013924851442837</v>
      </c>
      <c r="J1331" t="n">
        <v>0.0227055270177913</v>
      </c>
      <c r="K1331" t="n">
        <v>0.5100828643590852</v>
      </c>
      <c r="L1331" t="b">
        <v>1</v>
      </c>
      <c r="M1331" t="b">
        <v>0</v>
      </c>
      <c r="N1331" t="inlineStr">
        <is>
          <t>alt</t>
        </is>
      </c>
      <c r="O1331" t="n">
        <v>80</v>
      </c>
      <c r="P1331" t="n">
        <v>0.01733</v>
      </c>
      <c r="Q1331" t="n">
        <v>80</v>
      </c>
      <c r="R1331" t="n">
        <v>0.1707</v>
      </c>
      <c r="S1331">
        <f>IMAGE("https://mitra.stanford.edu/kundaje/oak/projects/neuro-variants/variant_position/credible/roussos_2024/variant_figures/roussos_2024.infant.GLU/rs2678445_count_position.png",4,220,900)</f>
        <v/>
      </c>
      <c r="T1331">
        <f>IMAGE("https://mitra.stanford.edu/kundaje/oak/projects/neuro-variants/variant_position/credible/roussos_2024/variant_figures/roussos_2024.infant.GLU/rs2678445_profile_position.png",4,220,900)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0.1664344579999999</v>
      </c>
      <c r="G1332" t="n">
        <v>0.0164899938042588</v>
      </c>
      <c r="H1332" t="n">
        <v>0.0374675665381885</v>
      </c>
      <c r="I1332" t="n">
        <v>0.0262861814211744</v>
      </c>
      <c r="J1332" t="n">
        <v>0.0258702793271456</v>
      </c>
      <c r="K1332" t="n">
        <v>0.4865721605054741</v>
      </c>
      <c r="L1332" t="b">
        <v>1</v>
      </c>
      <c r="M1332" t="b">
        <v>0</v>
      </c>
      <c r="N1332" t="inlineStr">
        <is>
          <t>alt</t>
        </is>
      </c>
      <c r="O1332" t="n">
        <v>-95</v>
      </c>
      <c r="P1332" t="n">
        <v>0.0417</v>
      </c>
      <c r="Q1332" t="n">
        <v>-100</v>
      </c>
      <c r="R1332" t="n">
        <v>0.05188</v>
      </c>
      <c r="S1332">
        <f>IMAGE("https://mitra.stanford.edu/kundaje/oak/projects/neuro-variants/variant_position/credible/roussos_2024/variant_figures/roussos_2024.infant.GLU/rs783532_count_position.png",4,220,900)</f>
        <v/>
      </c>
      <c r="T1332">
        <f>IMAGE("https://mitra.stanford.edu/kundaje/oak/projects/neuro-variants/variant_position/credible/roussos_2024/variant_figures/roussos_2024.infant.GLU/rs783532_profile_position.png",4,220,900)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-0.01942605476</v>
      </c>
      <c r="G1333" t="n">
        <v>0.4592186716494189</v>
      </c>
      <c r="H1333" t="n">
        <v>0.0570798743993572</v>
      </c>
      <c r="I1333" t="n">
        <v>0.0040595991892134</v>
      </c>
      <c r="J1333" t="n">
        <v>0.0248021340858484</v>
      </c>
      <c r="K1333" t="n">
        <v>0.49170558116043</v>
      </c>
      <c r="L1333" t="b">
        <v>1</v>
      </c>
      <c r="M1333" t="b">
        <v>0</v>
      </c>
      <c r="N1333" t="inlineStr">
        <is>
          <t>ref</t>
        </is>
      </c>
      <c r="O1333" t="n">
        <v>100</v>
      </c>
      <c r="P1333" t="n">
        <v>0.010254</v>
      </c>
      <c r="Q1333" t="n">
        <v>55</v>
      </c>
      <c r="R1333" t="n">
        <v>0.12476</v>
      </c>
      <c r="S1333">
        <f>IMAGE("https://mitra.stanford.edu/kundaje/oak/projects/neuro-variants/variant_position/credible/roussos_2024/variant_figures/roussos_2024.infant.GLU/rs71412256_count_position.png",4,220,900)</f>
        <v/>
      </c>
      <c r="T1333">
        <f>IMAGE("https://mitra.stanford.edu/kundaje/oak/projects/neuro-variants/variant_position/credible/roussos_2024/variant_figures/roussos_2024.infant.GLU/rs71412256_profile_position.png",4,220,900)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0.1234288942</v>
      </c>
      <c r="G1334" t="n">
        <v>0.0464327952484382</v>
      </c>
      <c r="H1334" t="n">
        <v>0.0323900988375742</v>
      </c>
      <c r="I1334" t="n">
        <v>0.0544374969954952</v>
      </c>
      <c r="J1334" t="n">
        <v>0.0767025287153596</v>
      </c>
      <c r="K1334" t="n">
        <v>0.2691728637773279</v>
      </c>
      <c r="L1334" t="b">
        <v>0</v>
      </c>
      <c r="M1334" t="b">
        <v>0</v>
      </c>
      <c r="N1334" t="inlineStr">
        <is>
          <t>alt</t>
        </is>
      </c>
      <c r="O1334" t="n">
        <v>-50</v>
      </c>
      <c r="P1334" t="n">
        <v>0.00534</v>
      </c>
      <c r="Q1334" t="n">
        <v>95</v>
      </c>
      <c r="R1334" t="n">
        <v>0.12415</v>
      </c>
      <c r="S1334">
        <f>IMAGE("https://mitra.stanford.edu/kundaje/oak/projects/neuro-variants/variant_position/credible/roussos_2024/variant_figures/roussos_2024.infant.GLU/rs2567635_count_position.png",4,220,900)</f>
        <v/>
      </c>
      <c r="T1334">
        <f>IMAGE("https://mitra.stanford.edu/kundaje/oak/projects/neuro-variants/variant_position/credible/roussos_2024/variant_figures/roussos_2024.infant.GLU/rs2567635_profile_position.png",4,220,900)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0.110745016</v>
      </c>
      <c r="G1335" t="n">
        <v>0.0421219396067706</v>
      </c>
      <c r="H1335" t="n">
        <v>0.0178332883116351</v>
      </c>
      <c r="I1335" t="n">
        <v>0.2514250742927548</v>
      </c>
      <c r="J1335" t="n">
        <v>0.2581031327851142</v>
      </c>
      <c r="K1335" t="n">
        <v>0.0823779261120451</v>
      </c>
      <c r="L1335" t="b">
        <v>0</v>
      </c>
      <c r="M1335" t="b">
        <v>0</v>
      </c>
      <c r="N1335" t="inlineStr">
        <is>
          <t>alt</t>
        </is>
      </c>
      <c r="O1335" t="n">
        <v>-85</v>
      </c>
      <c r="P1335" t="n">
        <v>0.1763</v>
      </c>
      <c r="Q1335" t="n">
        <v>-95</v>
      </c>
      <c r="R1335" t="n">
        <v>0.103</v>
      </c>
      <c r="S1335">
        <f>IMAGE("https://mitra.stanford.edu/kundaje/oak/projects/neuro-variants/variant_position/credible/roussos_2024/variant_figures/roussos_2024.infant.GLU/rs1269134_count_position.png",4,220,900)</f>
        <v/>
      </c>
      <c r="T1335">
        <f>IMAGE("https://mitra.stanford.edu/kundaje/oak/projects/neuro-variants/variant_position/credible/roussos_2024/variant_figures/roussos_2024.infant.GLU/rs1269134_profile_position.png",4,220,900)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-0.021618665</v>
      </c>
      <c r="G1336" t="n">
        <v>0.4230093299514085</v>
      </c>
      <c r="H1336" t="n">
        <v>0.0504546012452599</v>
      </c>
      <c r="I1336" t="n">
        <v>0.0072646928813669</v>
      </c>
      <c r="J1336" t="n">
        <v>0.0062203752287307</v>
      </c>
      <c r="K1336" t="n">
        <v>0.7353002809035607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0.02559</v>
      </c>
      <c r="Q1336" t="n">
        <v>-100</v>
      </c>
      <c r="R1336" t="n">
        <v>0.0561</v>
      </c>
      <c r="S1336">
        <f>IMAGE("https://mitra.stanford.edu/kundaje/oak/projects/neuro-variants/variant_position/credible/roussos_2024/variant_figures/roussos_2024.infant.GLU/rs28374463_count_position.png",4,220,900)</f>
        <v/>
      </c>
      <c r="T1336">
        <f>IMAGE("https://mitra.stanford.edu/kundaje/oak/projects/neuro-variants/variant_position/credible/roussos_2024/variant_figures/roussos_2024.infant.GLU/rs28374463_profile_position.png",4,220,900)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-0.085039683</v>
      </c>
      <c r="G1337" t="n">
        <v>0.0729231588905539</v>
      </c>
      <c r="H1337" t="n">
        <v>0.0215753686037078</v>
      </c>
      <c r="I1337" t="n">
        <v>0.1537724287193548</v>
      </c>
      <c r="J1337" t="n">
        <v>0.1787958288322053</v>
      </c>
      <c r="K1337" t="n">
        <v>0.1250492441492419</v>
      </c>
      <c r="L1337" t="b">
        <v>0</v>
      </c>
      <c r="M1337" t="b">
        <v>0</v>
      </c>
      <c r="N1337" t="inlineStr">
        <is>
          <t>ref</t>
        </is>
      </c>
      <c r="O1337" t="n">
        <v>-100</v>
      </c>
      <c r="P1337" t="n">
        <v>0.2554</v>
      </c>
      <c r="Q1337" t="n">
        <v>70</v>
      </c>
      <c r="R1337" t="n">
        <v>0.10376</v>
      </c>
      <c r="S1337">
        <f>IMAGE("https://mitra.stanford.edu/kundaje/oak/projects/neuro-variants/variant_position/credible/roussos_2024/variant_figures/roussos_2024.infant.GLU/rs10906984_count_position.png",4,220,900)</f>
        <v/>
      </c>
      <c r="T1337">
        <f>IMAGE("https://mitra.stanford.edu/kundaje/oak/projects/neuro-variants/variant_position/credible/roussos_2024/variant_figures/roussos_2024.infant.GLU/rs10906984_profile_position.png",4,220,900)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0.02136661</v>
      </c>
      <c r="G1338" t="n">
        <v>0.4164625506210864</v>
      </c>
      <c r="H1338" t="n">
        <v>0.0204467686464178</v>
      </c>
      <c r="I1338" t="n">
        <v>0.1764010432602848</v>
      </c>
      <c r="J1338" t="n">
        <v>0.0566128001058223</v>
      </c>
      <c r="K1338" t="n">
        <v>0.3306178876649652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0.00788</v>
      </c>
      <c r="Q1338" t="n">
        <v>100</v>
      </c>
      <c r="R1338" t="n">
        <v>0.1539</v>
      </c>
      <c r="S1338">
        <f>IMAGE("https://mitra.stanford.edu/kundaje/oak/projects/neuro-variants/variant_position/credible/roussos_2024/variant_figures/roussos_2024.infant.GLU/rs9652567_count_position.png",4,220,900)</f>
        <v/>
      </c>
      <c r="T1338">
        <f>IMAGE("https://mitra.stanford.edu/kundaje/oak/projects/neuro-variants/variant_position/credible/roussos_2024/variant_figures/roussos_2024.infant.GLU/rs9652567_profile_position.png",4,220,900)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0.0511068827999999</v>
      </c>
      <c r="G1339" t="n">
        <v>0.160446880734895</v>
      </c>
      <c r="H1339" t="n">
        <v>0.0101348077228158</v>
      </c>
      <c r="I1339" t="n">
        <v>0.7197000871110291</v>
      </c>
      <c r="J1339" t="n">
        <v>0.1124142948477699</v>
      </c>
      <c r="K1339" t="n">
        <v>0.1911656967465894</v>
      </c>
      <c r="L1339" t="b">
        <v>0</v>
      </c>
      <c r="M1339" t="b">
        <v>0</v>
      </c>
      <c r="N1339" t="inlineStr">
        <is>
          <t>alt</t>
        </is>
      </c>
      <c r="O1339" t="n">
        <v>55</v>
      </c>
      <c r="P1339" t="n">
        <v>0.003727</v>
      </c>
      <c r="Q1339" t="n">
        <v>100</v>
      </c>
      <c r="R1339" t="n">
        <v>0.1133</v>
      </c>
      <c r="S1339">
        <f>IMAGE("https://mitra.stanford.edu/kundaje/oak/projects/neuro-variants/variant_position/credible/roussos_2024/variant_figures/roussos_2024.infant.GLU/rs4779054_count_position.png",4,220,900)</f>
        <v/>
      </c>
      <c r="T1339">
        <f>IMAGE("https://mitra.stanford.edu/kundaje/oak/projects/neuro-variants/variant_position/credible/roussos_2024/variant_figures/roussos_2024.infant.GLU/rs4779054_profile_position.png",4,220,900)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0.0002200945999999</v>
      </c>
      <c r="G1340" t="n">
        <v>0.4490224984856512</v>
      </c>
      <c r="H1340" t="n">
        <v>0.0116083600387838</v>
      </c>
      <c r="I1340" t="n">
        <v>0.5879704823287151</v>
      </c>
      <c r="J1340" t="n">
        <v>0.009133799246015</v>
      </c>
      <c r="K1340" t="n">
        <v>0.6794143293963304</v>
      </c>
      <c r="L1340" t="b">
        <v>0</v>
      </c>
      <c r="M1340" t="b">
        <v>0</v>
      </c>
      <c r="N1340" t="inlineStr">
        <is>
          <t>alt</t>
        </is>
      </c>
      <c r="O1340" t="n">
        <v>95</v>
      </c>
      <c r="P1340" t="n">
        <v>0.005173</v>
      </c>
      <c r="Q1340" t="n">
        <v>35</v>
      </c>
      <c r="R1340" t="n">
        <v>0.08459999999999999</v>
      </c>
      <c r="S1340">
        <f>IMAGE("https://mitra.stanford.edu/kundaje/oak/projects/neuro-variants/variant_position/credible/roussos_2024/variant_figures/roussos_2024.infant.GLU/rs34921234_count_position.png",4,220,900)</f>
        <v/>
      </c>
      <c r="T1340">
        <f>IMAGE("https://mitra.stanford.edu/kundaje/oak/projects/neuro-variants/variant_position/credible/roussos_2024/variant_figures/roussos_2024.infant.GLU/rs34921234_profile_position.png",4,220,900)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0.179993318</v>
      </c>
      <c r="G1341" t="n">
        <v>0.0140999162495956</v>
      </c>
      <c r="H1341" t="n">
        <v>0.0366639553284555</v>
      </c>
      <c r="I1341" t="n">
        <v>0.0285487790690542</v>
      </c>
      <c r="J1341" t="n">
        <v>0.0125112987499724</v>
      </c>
      <c r="K1341" t="n">
        <v>0.6251111878113059</v>
      </c>
      <c r="L1341" t="b">
        <v>1</v>
      </c>
      <c r="M1341" t="b">
        <v>0</v>
      </c>
      <c r="N1341" t="inlineStr">
        <is>
          <t>alt</t>
        </is>
      </c>
      <c r="O1341" t="n">
        <v>55</v>
      </c>
      <c r="P1341" t="n">
        <v>0.02802</v>
      </c>
      <c r="Q1341" t="n">
        <v>-75</v>
      </c>
      <c r="R1341" t="n">
        <v>0.10016</v>
      </c>
      <c r="S1341">
        <f>IMAGE("https://mitra.stanford.edu/kundaje/oak/projects/neuro-variants/variant_position/credible/roussos_2024/variant_figures/roussos_2024.infant.GLU/rs12902973_count_position.png",4,220,900)</f>
        <v/>
      </c>
      <c r="T1341">
        <f>IMAGE("https://mitra.stanford.edu/kundaje/oak/projects/neuro-variants/variant_position/credible/roussos_2024/variant_figures/roussos_2024.infant.GLU/rs12902973_profile_position.png",4,220,900)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0.01212533572</v>
      </c>
      <c r="G1342" t="n">
        <v>0.5608764644067309</v>
      </c>
      <c r="H1342" t="n">
        <v>0.0145904218043688</v>
      </c>
      <c r="I1342" t="n">
        <v>0.3924920219897808</v>
      </c>
      <c r="J1342" t="n">
        <v>0.0215866751912519</v>
      </c>
      <c r="K1342" t="n">
        <v>0.5389812130553693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0.01275</v>
      </c>
      <c r="Q1342" t="n">
        <v>-75</v>
      </c>
      <c r="R1342" t="n">
        <v>0.1578</v>
      </c>
      <c r="S1342">
        <f>IMAGE("https://mitra.stanford.edu/kundaje/oak/projects/neuro-variants/variant_position/credible/roussos_2024/variant_figures/roussos_2024.infant.GLU/rs34973912_count_position.png",4,220,900)</f>
        <v/>
      </c>
      <c r="T1342">
        <f>IMAGE("https://mitra.stanford.edu/kundaje/oak/projects/neuro-variants/variant_position/credible/roussos_2024/variant_figures/roussos_2024.infant.GLU/rs34973912_profile_position.png",4,220,900)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0.00777479704</v>
      </c>
      <c r="G1343" t="n">
        <v>0.6617391935224677</v>
      </c>
      <c r="H1343" t="n">
        <v>0.010463754556112</v>
      </c>
      <c r="I1343" t="n">
        <v>0.6872449117051105</v>
      </c>
      <c r="J1343" t="n">
        <v>0.4416631759959434</v>
      </c>
      <c r="K1343" t="n">
        <v>0.0386836589117761</v>
      </c>
      <c r="L1343" t="b">
        <v>0</v>
      </c>
      <c r="M1343" t="b">
        <v>0</v>
      </c>
      <c r="N1343" t="inlineStr">
        <is>
          <t>alt</t>
        </is>
      </c>
      <c r="O1343" t="n">
        <v>45</v>
      </c>
      <c r="P1343" t="n">
        <v>0.004456</v>
      </c>
      <c r="Q1343" t="n">
        <v>-100</v>
      </c>
      <c r="R1343" t="n">
        <v>0.1785</v>
      </c>
      <c r="S1343">
        <f>IMAGE("https://mitra.stanford.edu/kundaje/oak/projects/neuro-variants/variant_position/credible/roussos_2024/variant_figures/roussos_2024.infant.GLU/rs36126054_count_position.png",4,220,900)</f>
        <v/>
      </c>
      <c r="T1343">
        <f>IMAGE("https://mitra.stanford.edu/kundaje/oak/projects/neuro-variants/variant_position/credible/roussos_2024/variant_figures/roussos_2024.infant.GLU/rs36126054_profile_position.png",4,220,900)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-0.098498647078</v>
      </c>
      <c r="G1344" t="n">
        <v>0.0777674928817175</v>
      </c>
      <c r="H1344" t="n">
        <v>0.0181847162680688</v>
      </c>
      <c r="I1344" t="n">
        <v>0.2427906572577889</v>
      </c>
      <c r="J1344" t="n">
        <v>0.0034756057232301</v>
      </c>
      <c r="K1344" t="n">
        <v>0.7962479346863357</v>
      </c>
      <c r="L1344" t="b">
        <v>0</v>
      </c>
      <c r="M1344" t="b">
        <v>0</v>
      </c>
      <c r="N1344" t="inlineStr">
        <is>
          <t>ref</t>
        </is>
      </c>
      <c r="O1344" t="n">
        <v>-100</v>
      </c>
      <c r="P1344" t="n">
        <v>0.02618</v>
      </c>
      <c r="Q1344" t="n">
        <v>15</v>
      </c>
      <c r="R1344" t="n">
        <v>0.02711</v>
      </c>
      <c r="S1344">
        <f>IMAGE("https://mitra.stanford.edu/kundaje/oak/projects/neuro-variants/variant_position/credible/roussos_2024/variant_figures/roussos_2024.infant.GLU/rs12899981_count_position.png",4,220,900)</f>
        <v/>
      </c>
      <c r="T1344">
        <f>IMAGE("https://mitra.stanford.edu/kundaje/oak/projects/neuro-variants/variant_position/credible/roussos_2024/variant_figures/roussos_2024.infant.GLU/rs12899981_profile_position.png",4,220,900)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-0.0648225882</v>
      </c>
      <c r="G1345" t="n">
        <v>0.1353693191136742</v>
      </c>
      <c r="H1345" t="n">
        <v>0.0264102971031034</v>
      </c>
      <c r="I1345" t="n">
        <v>0.08612306085060061</v>
      </c>
      <c r="J1345" t="n">
        <v>0.9197513172688992</v>
      </c>
      <c r="K1345" t="n">
        <v>0.0022207086418202</v>
      </c>
      <c r="L1345" t="b">
        <v>0</v>
      </c>
      <c r="M1345" t="b">
        <v>0</v>
      </c>
      <c r="N1345" t="inlineStr">
        <is>
          <t>ref</t>
        </is>
      </c>
      <c r="O1345" t="n">
        <v>75</v>
      </c>
      <c r="P1345" t="n">
        <v>0.08416999999999999</v>
      </c>
      <c r="Q1345" t="n">
        <v>85</v>
      </c>
      <c r="R1345" t="n">
        <v>0.4429</v>
      </c>
      <c r="S1345">
        <f>IMAGE("https://mitra.stanford.edu/kundaje/oak/projects/neuro-variants/variant_position/credible/roussos_2024/variant_figures/roussos_2024.infant.GLU/rs7178152_count_position.png",4,220,900)</f>
        <v/>
      </c>
      <c r="T1345">
        <f>IMAGE("https://mitra.stanford.edu/kundaje/oak/projects/neuro-variants/variant_position/credible/roussos_2024/variant_figures/roussos_2024.infant.GLU/rs7178152_profile_position.png",4,220,900)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0.076023986</v>
      </c>
      <c r="G1346" t="n">
        <v>0.08495617720515949</v>
      </c>
      <c r="H1346" t="n">
        <v>0.0114628422694883</v>
      </c>
      <c r="I1346" t="n">
        <v>0.5984505745949398</v>
      </c>
      <c r="J1346" t="n">
        <v>0.011145527899645</v>
      </c>
      <c r="K1346" t="n">
        <v>0.6486936745086633</v>
      </c>
      <c r="L1346" t="b">
        <v>0</v>
      </c>
      <c r="M1346" t="b">
        <v>0</v>
      </c>
      <c r="N1346" t="inlineStr">
        <is>
          <t>alt</t>
        </is>
      </c>
      <c r="O1346" t="n">
        <v>-45</v>
      </c>
      <c r="P1346" t="n">
        <v>0.05795</v>
      </c>
      <c r="Q1346" t="n">
        <v>-70</v>
      </c>
      <c r="R1346" t="n">
        <v>0.10095</v>
      </c>
      <c r="S1346">
        <f>IMAGE("https://mitra.stanford.edu/kundaje/oak/projects/neuro-variants/variant_position/credible/roussos_2024/variant_figures/roussos_2024.infant.GLU/rs2108600_count_position.png",4,220,900)</f>
        <v/>
      </c>
      <c r="T1346">
        <f>IMAGE("https://mitra.stanford.edu/kundaje/oak/projects/neuro-variants/variant_position/credible/roussos_2024/variant_figures/roussos_2024.infant.GLU/rs2108600_profile_position.png",4,220,900)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-0.09577173</v>
      </c>
      <c r="G1347" t="n">
        <v>0.0566888211806545</v>
      </c>
      <c r="H1347" t="n">
        <v>0.0280043107784438</v>
      </c>
      <c r="I1347" t="n">
        <v>0.0718563659560765</v>
      </c>
      <c r="J1347" t="n">
        <v>0.0177958067858638</v>
      </c>
      <c r="K1347" t="n">
        <v>0.5584915857847268</v>
      </c>
      <c r="L1347" t="b">
        <v>0</v>
      </c>
      <c r="M1347" t="b">
        <v>0</v>
      </c>
      <c r="N1347" t="inlineStr">
        <is>
          <t>ref</t>
        </is>
      </c>
      <c r="O1347" t="n">
        <v>80</v>
      </c>
      <c r="P1347" t="n">
        <v>0.00608</v>
      </c>
      <c r="Q1347" t="n">
        <v>45</v>
      </c>
      <c r="R1347" t="n">
        <v>0.0987</v>
      </c>
      <c r="S1347">
        <f>IMAGE("https://mitra.stanford.edu/kundaje/oak/projects/neuro-variants/variant_position/credible/roussos_2024/variant_figures/roussos_2024.infant.GLU/rs6496569_count_position.png",4,220,900)</f>
        <v/>
      </c>
      <c r="T1347">
        <f>IMAGE("https://mitra.stanford.edu/kundaje/oak/projects/neuro-variants/variant_position/credible/roussos_2024/variant_figures/roussos_2024.infant.GLU/rs6496569_profile_position.png",4,220,900)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-0.01838043708</v>
      </c>
      <c r="G1348" t="n">
        <v>0.4447340982773521</v>
      </c>
      <c r="H1348" t="n">
        <v>0.0110400472832964</v>
      </c>
      <c r="I1348" t="n">
        <v>0.6263379893169889</v>
      </c>
      <c r="J1348" t="n">
        <v>0.0448290306223681</v>
      </c>
      <c r="K1348" t="n">
        <v>0.3700744202553231</v>
      </c>
      <c r="L1348" t="b">
        <v>0</v>
      </c>
      <c r="M1348" t="b">
        <v>0</v>
      </c>
      <c r="N1348" t="inlineStr">
        <is>
          <t>ref</t>
        </is>
      </c>
      <c r="O1348" t="n">
        <v>10</v>
      </c>
      <c r="P1348" t="n">
        <v>1.526e-05</v>
      </c>
      <c r="Q1348" t="n">
        <v>-95</v>
      </c>
      <c r="R1348" t="n">
        <v>0.275</v>
      </c>
      <c r="S1348">
        <f>IMAGE("https://mitra.stanford.edu/kundaje/oak/projects/neuro-variants/variant_position/credible/roussos_2024/variant_figures/roussos_2024.infant.GLU/rs7168951_count_position.png",4,220,900)</f>
        <v/>
      </c>
      <c r="T1348">
        <f>IMAGE("https://mitra.stanford.edu/kundaje/oak/projects/neuro-variants/variant_position/credible/roussos_2024/variant_figures/roussos_2024.infant.GLU/rs7168951_profile_position.png",4,220,900)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0.00650100696</v>
      </c>
      <c r="G1349" t="n">
        <v>0.7286060828436816</v>
      </c>
      <c r="H1349" t="n">
        <v>0.0330072264019747</v>
      </c>
      <c r="I1349" t="n">
        <v>0.0417654226057792</v>
      </c>
      <c r="J1349" t="n">
        <v>0.1160023369121893</v>
      </c>
      <c r="K1349" t="n">
        <v>0.1896946970870891</v>
      </c>
      <c r="L1349" t="b">
        <v>0</v>
      </c>
      <c r="M1349" t="b">
        <v>0</v>
      </c>
      <c r="N1349" t="inlineStr">
        <is>
          <t>alt</t>
        </is>
      </c>
      <c r="O1349" t="n">
        <v>-100</v>
      </c>
      <c r="P1349" t="n">
        <v>0.03192</v>
      </c>
      <c r="Q1349" t="n">
        <v>-100</v>
      </c>
      <c r="R1349" t="n">
        <v>0.2568</v>
      </c>
      <c r="S1349">
        <f>IMAGE("https://mitra.stanford.edu/kundaje/oak/projects/neuro-variants/variant_position/credible/roussos_2024/variant_figures/roussos_2024.infant.GLU/rs3759929_count_position.png",4,220,900)</f>
        <v/>
      </c>
      <c r="T1349">
        <f>IMAGE("https://mitra.stanford.edu/kundaje/oak/projects/neuro-variants/variant_position/credible/roussos_2024/variant_figures/roussos_2024.infant.GLU/rs3759929_profile_position.png",4,220,900)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0.0539208696</v>
      </c>
      <c r="G1350" t="n">
        <v>0.1439346336556543</v>
      </c>
      <c r="H1350" t="n">
        <v>0.0131809589499559</v>
      </c>
      <c r="I1350" t="n">
        <v>0.4743072355425463</v>
      </c>
      <c r="J1350" t="n">
        <v>0.09984016402478001</v>
      </c>
      <c r="K1350" t="n">
        <v>0.2128473888416358</v>
      </c>
      <c r="L1350" t="b">
        <v>0</v>
      </c>
      <c r="M1350" t="b">
        <v>0</v>
      </c>
      <c r="N1350" t="inlineStr">
        <is>
          <t>alt</t>
        </is>
      </c>
      <c r="O1350" t="n">
        <v>10</v>
      </c>
      <c r="P1350" t="n">
        <v>0.003124</v>
      </c>
      <c r="Q1350" t="n">
        <v>-100</v>
      </c>
      <c r="R1350" t="n">
        <v>0.03226</v>
      </c>
      <c r="S1350">
        <f>IMAGE("https://mitra.stanford.edu/kundaje/oak/projects/neuro-variants/variant_position/credible/roussos_2024/variant_figures/roussos_2024.infant.GLU/rs8037254_count_position.png",4,220,900)</f>
        <v/>
      </c>
      <c r="T1350">
        <f>IMAGE("https://mitra.stanford.edu/kundaje/oak/projects/neuro-variants/variant_position/credible/roussos_2024/variant_figures/roussos_2024.infant.GLU/rs8037254_profile_position.png",4,220,900)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0.0146250094</v>
      </c>
      <c r="G1351" t="n">
        <v>0.500195209936776</v>
      </c>
      <c r="H1351" t="n">
        <v>0.0134556080463351</v>
      </c>
      <c r="I1351" t="n">
        <v>0.4527490456341036</v>
      </c>
      <c r="J1351" t="n">
        <v>0.146225666350669</v>
      </c>
      <c r="K1351" t="n">
        <v>0.1515457824205233</v>
      </c>
      <c r="L1351" t="b">
        <v>0</v>
      </c>
      <c r="M1351" t="b">
        <v>0</v>
      </c>
      <c r="N1351" t="inlineStr">
        <is>
          <t>alt</t>
        </is>
      </c>
      <c r="O1351" t="n">
        <v>30</v>
      </c>
      <c r="P1351" t="n">
        <v>0.00757</v>
      </c>
      <c r="Q1351" t="n">
        <v>50</v>
      </c>
      <c r="R1351" t="n">
        <v>0.1853</v>
      </c>
      <c r="S1351">
        <f>IMAGE("https://mitra.stanford.edu/kundaje/oak/projects/neuro-variants/variant_position/credible/roussos_2024/variant_figures/roussos_2024.infant.GLU/rs12595052_count_position.png",4,220,900)</f>
        <v/>
      </c>
      <c r="T1351">
        <f>IMAGE("https://mitra.stanford.edu/kundaje/oak/projects/neuro-variants/variant_position/credible/roussos_2024/variant_figures/roussos_2024.infant.GLU/rs12595052_profile_position.png",4,220,900)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0.007958808919999999</v>
      </c>
      <c r="G1352" t="n">
        <v>0.5750482739860835</v>
      </c>
      <c r="H1352" t="n">
        <v>0.0157787095718333</v>
      </c>
      <c r="I1352" t="n">
        <v>0.3229581325207937</v>
      </c>
      <c r="J1352" t="n">
        <v>0.3311327410216274</v>
      </c>
      <c r="K1352" t="n">
        <v>0.0608489427945198</v>
      </c>
      <c r="L1352" t="b">
        <v>0</v>
      </c>
      <c r="M1352" t="b">
        <v>0</v>
      </c>
      <c r="N1352" t="inlineStr">
        <is>
          <t>alt</t>
        </is>
      </c>
      <c r="O1352" t="n">
        <v>-100</v>
      </c>
      <c r="P1352" t="n">
        <v>0.0372</v>
      </c>
      <c r="Q1352" t="n">
        <v>-35</v>
      </c>
      <c r="R1352" t="n">
        <v>0.3015</v>
      </c>
      <c r="S1352">
        <f>IMAGE("https://mitra.stanford.edu/kundaje/oak/projects/neuro-variants/variant_position/credible/roussos_2024/variant_figures/roussos_2024.infant.GLU/rs11632664_count_position.png",4,220,900)</f>
        <v/>
      </c>
      <c r="T1352">
        <f>IMAGE("https://mitra.stanford.edu/kundaje/oak/projects/neuro-variants/variant_position/credible/roussos_2024/variant_figures/roussos_2024.infant.GLU/rs11632664_profile_position.png",4,220,900)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-0.008580529700000001</v>
      </c>
      <c r="G1353" t="n">
        <v>0.5246662152536017</v>
      </c>
      <c r="H1353" t="n">
        <v>0.016795491820085</v>
      </c>
      <c r="I1353" t="n">
        <v>0.2815043139026033</v>
      </c>
      <c r="J1353" t="n">
        <v>0.1241539716484049</v>
      </c>
      <c r="K1353" t="n">
        <v>0.1808267896055161</v>
      </c>
      <c r="L1353" t="b">
        <v>0</v>
      </c>
      <c r="M1353" t="b">
        <v>0</v>
      </c>
      <c r="N1353" t="inlineStr">
        <is>
          <t>ref</t>
        </is>
      </c>
      <c r="O1353" t="n">
        <v>100</v>
      </c>
      <c r="P1353" t="n">
        <v>0.004807</v>
      </c>
      <c r="Q1353" t="n">
        <v>-15</v>
      </c>
      <c r="R1353" t="n">
        <v>0.02753</v>
      </c>
      <c r="S1353">
        <f>IMAGE("https://mitra.stanford.edu/kundaje/oak/projects/neuro-variants/variant_position/credible/roussos_2024/variant_figures/roussos_2024.infant.GLU/rs111548674_count_position.png",4,220,900)</f>
        <v/>
      </c>
      <c r="T1353">
        <f>IMAGE("https://mitra.stanford.edu/kundaje/oak/projects/neuro-variants/variant_position/credible/roussos_2024/variant_figures/roussos_2024.infant.GLU/rs111548674_profile_position.png",4,220,900)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0.1197697379999999</v>
      </c>
      <c r="G1354" t="n">
        <v>0.036259149978762</v>
      </c>
      <c r="H1354" t="n">
        <v>0.0152038403699138</v>
      </c>
      <c r="I1354" t="n">
        <v>0.3538111410226809</v>
      </c>
      <c r="J1354" t="n">
        <v>0.0149253731343283</v>
      </c>
      <c r="K1354" t="n">
        <v>0.5904329206482164</v>
      </c>
      <c r="L1354" t="b">
        <v>0</v>
      </c>
      <c r="M1354" t="b">
        <v>0</v>
      </c>
      <c r="N1354" t="inlineStr">
        <is>
          <t>alt</t>
        </is>
      </c>
      <c r="O1354" t="n">
        <v>-70</v>
      </c>
      <c r="P1354" t="n">
        <v>0.07389999999999999</v>
      </c>
      <c r="Q1354" t="n">
        <v>60</v>
      </c>
      <c r="R1354" t="n">
        <v>0.06494</v>
      </c>
      <c r="S1354">
        <f>IMAGE("https://mitra.stanford.edu/kundaje/oak/projects/neuro-variants/variant_position/credible/roussos_2024/variant_figures/roussos_2024.infant.GLU/rs11073569_count_position.png",4,220,900)</f>
        <v/>
      </c>
      <c r="T1354">
        <f>IMAGE("https://mitra.stanford.edu/kundaje/oak/projects/neuro-variants/variant_position/credible/roussos_2024/variant_figures/roussos_2024.infant.GLU/rs11073569_profile_position.png",4,220,900)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-0.17260567</v>
      </c>
      <c r="G1355" t="n">
        <v>0.0151760758010676</v>
      </c>
      <c r="H1355" t="n">
        <v>0.0267796673488429</v>
      </c>
      <c r="I1355" t="n">
        <v>0.0834763806680786</v>
      </c>
      <c r="J1355" t="n">
        <v>0.1159670627659339</v>
      </c>
      <c r="K1355" t="n">
        <v>0.1828920638677066</v>
      </c>
      <c r="L1355" t="b">
        <v>1</v>
      </c>
      <c r="M1355" t="b">
        <v>0</v>
      </c>
      <c r="N1355" t="inlineStr">
        <is>
          <t>ref</t>
        </is>
      </c>
      <c r="O1355" t="n">
        <v>100</v>
      </c>
      <c r="P1355" t="n">
        <v>0.01787</v>
      </c>
      <c r="Q1355" t="n">
        <v>-85</v>
      </c>
      <c r="R1355" t="n">
        <v>0.10864</v>
      </c>
      <c r="S1355">
        <f>IMAGE("https://mitra.stanford.edu/kundaje/oak/projects/neuro-variants/variant_position/credible/roussos_2024/variant_figures/roussos_2024.infant.GLU/rs12908536_count_position.png",4,220,900)</f>
        <v/>
      </c>
      <c r="T1355">
        <f>IMAGE("https://mitra.stanford.edu/kundaje/oak/projects/neuro-variants/variant_position/credible/roussos_2024/variant_figures/roussos_2024.infant.GLU/rs12908536_profile_position.png",4,220,900)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0.0085877168199999</v>
      </c>
      <c r="G1356" t="n">
        <v>0.6318910736238504</v>
      </c>
      <c r="H1356" t="n">
        <v>0.0072247208144901</v>
      </c>
      <c r="I1356" t="n">
        <v>0.944258125925614</v>
      </c>
      <c r="J1356" t="n">
        <v>0.0690425273925791</v>
      </c>
      <c r="K1356" t="n">
        <v>0.275620362244608</v>
      </c>
      <c r="L1356" t="b">
        <v>0</v>
      </c>
      <c r="M1356" t="b">
        <v>0</v>
      </c>
      <c r="N1356" t="inlineStr">
        <is>
          <t>alt</t>
        </is>
      </c>
      <c r="O1356" t="n">
        <v>-100</v>
      </c>
      <c r="P1356" t="n">
        <v>0.01596</v>
      </c>
      <c r="Q1356" t="n">
        <v>65</v>
      </c>
      <c r="R1356" t="n">
        <v>0.02124</v>
      </c>
      <c r="S1356">
        <f>IMAGE("https://mitra.stanford.edu/kundaje/oak/projects/neuro-variants/variant_position/credible/roussos_2024/variant_figures/roussos_2024.infant.GLU/rs59251433_count_position.png",4,220,900)</f>
        <v/>
      </c>
      <c r="T1356">
        <f>IMAGE("https://mitra.stanford.edu/kundaje/oak/projects/neuro-variants/variant_position/credible/roussos_2024/variant_figures/roussos_2024.infant.GLU/rs59251433_profile_position.png",4,220,900)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0.00109855716</v>
      </c>
      <c r="G1357" t="n">
        <v>0.6554262302025927</v>
      </c>
      <c r="H1357" t="n">
        <v>0.0407945007069593</v>
      </c>
      <c r="I1357" t="n">
        <v>0.0187077915758689</v>
      </c>
      <c r="J1357" t="n">
        <v>0.0897771114883484</v>
      </c>
      <c r="K1357" t="n">
        <v>0.2344372667296644</v>
      </c>
      <c r="L1357" t="b">
        <v>1</v>
      </c>
      <c r="M1357" t="b">
        <v>0</v>
      </c>
      <c r="N1357" t="inlineStr">
        <is>
          <t>alt</t>
        </is>
      </c>
      <c r="O1357" t="n">
        <v>100</v>
      </c>
      <c r="P1357" t="n">
        <v>0.0255</v>
      </c>
      <c r="Q1357" t="n">
        <v>-80</v>
      </c>
      <c r="R1357" t="n">
        <v>0.3687</v>
      </c>
      <c r="S1357">
        <f>IMAGE("https://mitra.stanford.edu/kundaje/oak/projects/neuro-variants/variant_position/credible/roussos_2024/variant_figures/roussos_2024.infant.GLU/rs189443571_count_position.png",4,220,900)</f>
        <v/>
      </c>
      <c r="T1357">
        <f>IMAGE("https://mitra.stanford.edu/kundaje/oak/projects/neuro-variants/variant_position/credible/roussos_2024/variant_figures/roussos_2024.infant.GLU/rs189443571_profile_position.png",4,220,900)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0.1322790559999999</v>
      </c>
      <c r="G1358" t="n">
        <v>0.0288536269324814</v>
      </c>
      <c r="H1358" t="n">
        <v>0.018735703961732</v>
      </c>
      <c r="I1358" t="n">
        <v>0.2277683039084981</v>
      </c>
      <c r="J1358" t="n">
        <v>0.2583246985162811</v>
      </c>
      <c r="K1358" t="n">
        <v>0.08176664343301419</v>
      </c>
      <c r="L1358" t="b">
        <v>0</v>
      </c>
      <c r="M1358" t="b">
        <v>0</v>
      </c>
      <c r="N1358" t="inlineStr">
        <is>
          <t>alt</t>
        </is>
      </c>
      <c r="O1358" t="n">
        <v>-100</v>
      </c>
      <c r="P1358" t="n">
        <v>0.2468</v>
      </c>
      <c r="Q1358" t="n">
        <v>-40</v>
      </c>
      <c r="R1358" t="n">
        <v>0.03113</v>
      </c>
      <c r="S1358">
        <f>IMAGE("https://mitra.stanford.edu/kundaje/oak/projects/neuro-variants/variant_position/credible/roussos_2024/variant_figures/roussos_2024.infant.GLU/rs73470164_count_position.png",4,220,900)</f>
        <v/>
      </c>
      <c r="T1358">
        <f>IMAGE("https://mitra.stanford.edu/kundaje/oak/projects/neuro-variants/variant_position/credible/roussos_2024/variant_figures/roussos_2024.infant.GLU/rs73470164_profile_position.png",4,220,900)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-0.043032229</v>
      </c>
      <c r="G1359" t="n">
        <v>0.2084219155335218</v>
      </c>
      <c r="H1359" t="n">
        <v>0.0108557733566246</v>
      </c>
      <c r="I1359" t="n">
        <v>0.6609970733583487</v>
      </c>
      <c r="J1359" t="n">
        <v>0.5342148195506955</v>
      </c>
      <c r="K1359" t="n">
        <v>0.0269500308923841</v>
      </c>
      <c r="L1359" t="b">
        <v>0</v>
      </c>
      <c r="M1359" t="b">
        <v>0</v>
      </c>
      <c r="N1359" t="inlineStr">
        <is>
          <t>ref</t>
        </is>
      </c>
      <c r="O1359" t="n">
        <v>-100</v>
      </c>
      <c r="P1359" t="n">
        <v>0.006073</v>
      </c>
      <c r="Q1359" t="n">
        <v>90</v>
      </c>
      <c r="R1359" t="n">
        <v>0.1139</v>
      </c>
      <c r="S1359">
        <f>IMAGE("https://mitra.stanford.edu/kundaje/oak/projects/neuro-variants/variant_position/credible/roussos_2024/variant_figures/roussos_2024.infant.GLU/rs4786488_count_position.png",4,220,900)</f>
        <v/>
      </c>
      <c r="T1359">
        <f>IMAGE("https://mitra.stanford.edu/kundaje/oak/projects/neuro-variants/variant_position/credible/roussos_2024/variant_figures/roussos_2024.infant.GLU/rs4786488_profile_position.png",4,220,900)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0.01314015764</v>
      </c>
      <c r="G1360" t="n">
        <v>0.5761062840512569</v>
      </c>
      <c r="H1360" t="n">
        <v>0.0092367208232594</v>
      </c>
      <c r="I1360" t="n">
        <v>0.7890879599608083</v>
      </c>
      <c r="J1360" t="n">
        <v>0.0672512621530456</v>
      </c>
      <c r="K1360" t="n">
        <v>0.2892289955819025</v>
      </c>
      <c r="L1360" t="b">
        <v>0</v>
      </c>
      <c r="M1360" t="b">
        <v>0</v>
      </c>
      <c r="N1360" t="inlineStr">
        <is>
          <t>alt</t>
        </is>
      </c>
      <c r="O1360" t="n">
        <v>-35</v>
      </c>
      <c r="P1360" t="n">
        <v>0.006126</v>
      </c>
      <c r="Q1360" t="n">
        <v>-100</v>
      </c>
      <c r="R1360" t="n">
        <v>0.1252</v>
      </c>
      <c r="S1360">
        <f>IMAGE("https://mitra.stanford.edu/kundaje/oak/projects/neuro-variants/variant_position/credible/roussos_2024/variant_figures/roussos_2024.infant.GLU/rs6500602_count_position.png",4,220,900)</f>
        <v/>
      </c>
      <c r="T1360">
        <f>IMAGE("https://mitra.stanford.edu/kundaje/oak/projects/neuro-variants/variant_position/credible/roussos_2024/variant_figures/roussos_2024.infant.GLU/rs6500602_profile_position.png",4,220,900)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-0.1130632445999999</v>
      </c>
      <c r="G1361" t="n">
        <v>0.054647849499419</v>
      </c>
      <c r="H1361" t="n">
        <v>0.0211979307854956</v>
      </c>
      <c r="I1361" t="n">
        <v>0.1710916789249026</v>
      </c>
      <c r="J1361" t="n">
        <v>0.0487257214665226</v>
      </c>
      <c r="K1361" t="n">
        <v>0.3505678865105168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0.007233</v>
      </c>
      <c r="Q1361" t="n">
        <v>-80</v>
      </c>
      <c r="R1361" t="n">
        <v>0.03702</v>
      </c>
      <c r="S1361">
        <f>IMAGE("https://mitra.stanford.edu/kundaje/oak/projects/neuro-variants/variant_position/credible/roussos_2024/variant_figures/roussos_2024.infant.GLU/rs6500606_count_position.png",4,220,900)</f>
        <v/>
      </c>
      <c r="T1361">
        <f>IMAGE("https://mitra.stanford.edu/kundaje/oak/projects/neuro-variants/variant_position/credible/roussos_2024/variant_figures/roussos_2024.infant.GLU/rs6500606_profile_position.png",4,220,900)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0.0208976068</v>
      </c>
      <c r="G1362" t="n">
        <v>0.4252930020462625</v>
      </c>
      <c r="H1362" t="n">
        <v>0.0513661280632118</v>
      </c>
      <c r="I1362" t="n">
        <v>0.0067395981782893</v>
      </c>
      <c r="J1362" t="n">
        <v>0.0139784827707841</v>
      </c>
      <c r="K1362" t="n">
        <v>0.6004700620531219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0.2874</v>
      </c>
      <c r="Q1362" t="n">
        <v>-100</v>
      </c>
      <c r="R1362" t="n">
        <v>0.2063</v>
      </c>
      <c r="S1362">
        <f>IMAGE("https://mitra.stanford.edu/kundaje/oak/projects/neuro-variants/variant_position/credible/roussos_2024/variant_figures/roussos_2024.infant.GLU/rs11076833_count_position.png",4,220,900)</f>
        <v/>
      </c>
      <c r="T1362">
        <f>IMAGE("https://mitra.stanford.edu/kundaje/oak/projects/neuro-variants/variant_position/credible/roussos_2024/variant_figures/roussos_2024.infant.GLU/rs11076833_profile_position.png",4,220,900)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-0.06635988279999989</v>
      </c>
      <c r="G1363" t="n">
        <v>0.1088344351883291</v>
      </c>
      <c r="H1363" t="n">
        <v>0.0281738094338691</v>
      </c>
      <c r="I1363" t="n">
        <v>0.07103496687656929</v>
      </c>
      <c r="J1363" t="n">
        <v>0.0020613329218015</v>
      </c>
      <c r="K1363" t="n">
        <v>0.8451233775036191</v>
      </c>
      <c r="L1363" t="b">
        <v>0</v>
      </c>
      <c r="M1363" t="b">
        <v>0</v>
      </c>
      <c r="N1363" t="inlineStr">
        <is>
          <t>ref</t>
        </is>
      </c>
      <c r="O1363" t="n">
        <v>100</v>
      </c>
      <c r="P1363" t="n">
        <v>0.00992</v>
      </c>
      <c r="Q1363" t="n">
        <v>-5</v>
      </c>
      <c r="R1363" t="n">
        <v>0.001312</v>
      </c>
      <c r="S1363">
        <f>IMAGE("https://mitra.stanford.edu/kundaje/oak/projects/neuro-variants/variant_position/credible/roussos_2024/variant_figures/roussos_2024.infant.GLU/rs4786501_count_position.png",4,220,900)</f>
        <v/>
      </c>
      <c r="T1363">
        <f>IMAGE("https://mitra.stanford.edu/kundaje/oak/projects/neuro-variants/variant_position/credible/roussos_2024/variant_figures/roussos_2024.infant.GLU/rs4786501_profile_position.png",4,220,900)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-0.0249401966</v>
      </c>
      <c r="G1364" t="n">
        <v>0.3782476177484067</v>
      </c>
      <c r="H1364" t="n">
        <v>0.0455307116513146</v>
      </c>
      <c r="I1364" t="n">
        <v>0.0116329742682277</v>
      </c>
      <c r="J1364" t="n">
        <v>0.0006283207301747</v>
      </c>
      <c r="K1364" t="n">
        <v>0.9129866627571552</v>
      </c>
      <c r="L1364" t="b">
        <v>0</v>
      </c>
      <c r="M1364" t="b">
        <v>0</v>
      </c>
      <c r="N1364" t="inlineStr">
        <is>
          <t>ref</t>
        </is>
      </c>
      <c r="O1364" t="n">
        <v>35</v>
      </c>
      <c r="P1364" t="n">
        <v>0.01907</v>
      </c>
      <c r="Q1364" t="n">
        <v>-85</v>
      </c>
      <c r="R1364" t="n">
        <v>0.08887</v>
      </c>
      <c r="S1364">
        <f>IMAGE("https://mitra.stanford.edu/kundaje/oak/projects/neuro-variants/variant_position/credible/roussos_2024/variant_figures/roussos_2024.infant.GLU/rs4786502_count_position.png",4,220,900)</f>
        <v/>
      </c>
      <c r="T1364">
        <f>IMAGE("https://mitra.stanford.edu/kundaje/oak/projects/neuro-variants/variant_position/credible/roussos_2024/variant_figures/roussos_2024.infant.GLU/rs4786502_profile_position.png",4,220,900)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0.0004323136999999</v>
      </c>
      <c r="G1365" t="n">
        <v>0.6767093998857598</v>
      </c>
      <c r="H1365" t="n">
        <v>0.0116491621671588</v>
      </c>
      <c r="I1365" t="n">
        <v>0.5907084248933886</v>
      </c>
      <c r="J1365" t="n">
        <v>0.0059249542538415</v>
      </c>
      <c r="K1365" t="n">
        <v>0.7614860538031494</v>
      </c>
      <c r="L1365" t="b">
        <v>0</v>
      </c>
      <c r="M1365" t="b">
        <v>0</v>
      </c>
      <c r="N1365" t="inlineStr">
        <is>
          <t>alt</t>
        </is>
      </c>
      <c r="O1365" t="n">
        <v>25</v>
      </c>
      <c r="P1365" t="n">
        <v>0.02432</v>
      </c>
      <c r="Q1365" t="n">
        <v>-75</v>
      </c>
      <c r="R1365" t="n">
        <v>0.0883</v>
      </c>
      <c r="S1365">
        <f>IMAGE("https://mitra.stanford.edu/kundaje/oak/projects/neuro-variants/variant_position/credible/roussos_2024/variant_figures/roussos_2024.infant.GLU/rs2270366_count_position.png",4,220,900)</f>
        <v/>
      </c>
      <c r="T1365">
        <f>IMAGE("https://mitra.stanford.edu/kundaje/oak/projects/neuro-variants/variant_position/credible/roussos_2024/variant_figures/roussos_2024.infant.GLU/rs2270366_profile_position.png",4,220,900)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-0.0715822054</v>
      </c>
      <c r="G1366" t="n">
        <v>0.103096844516082</v>
      </c>
      <c r="H1366" t="n">
        <v>0.009162801708924201</v>
      </c>
      <c r="I1366" t="n">
        <v>0.8053975505953406</v>
      </c>
      <c r="J1366" t="n">
        <v>0.1483123525650918</v>
      </c>
      <c r="K1366" t="n">
        <v>0.1477997148557962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0.01313</v>
      </c>
      <c r="Q1366" t="n">
        <v>20</v>
      </c>
      <c r="R1366" t="n">
        <v>0.009766</v>
      </c>
      <c r="S1366">
        <f>IMAGE("https://mitra.stanford.edu/kundaje/oak/projects/neuro-variants/variant_position/credible/roussos_2024/variant_figures/roussos_2024.infant.GLU/rs1051308_count_position.png",4,220,900)</f>
        <v/>
      </c>
      <c r="T1366">
        <f>IMAGE("https://mitra.stanford.edu/kundaje/oak/projects/neuro-variants/variant_position/credible/roussos_2024/variant_figures/roussos_2024.infant.GLU/rs1051308_profile_position.png",4,220,900)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-0.0657030567999999</v>
      </c>
      <c r="G1367" t="n">
        <v>0.1114492305505544</v>
      </c>
      <c r="H1367" t="n">
        <v>0.0116109389420936</v>
      </c>
      <c r="I1367" t="n">
        <v>0.5912631027079561</v>
      </c>
      <c r="J1367" t="n">
        <v>0.0344738640622588</v>
      </c>
      <c r="K1367" t="n">
        <v>0.4301782418602614</v>
      </c>
      <c r="L1367" t="b">
        <v>0</v>
      </c>
      <c r="M1367" t="b">
        <v>0</v>
      </c>
      <c r="N1367" t="inlineStr">
        <is>
          <t>ref</t>
        </is>
      </c>
      <c r="O1367" t="n">
        <v>-55</v>
      </c>
      <c r="P1367" t="n">
        <v>0.002384</v>
      </c>
      <c r="Q1367" t="n">
        <v>70</v>
      </c>
      <c r="R1367" t="n">
        <v>0.1278</v>
      </c>
      <c r="S1367">
        <f>IMAGE("https://mitra.stanford.edu/kundaje/oak/projects/neuro-variants/variant_position/credible/roussos_2024/variant_figures/roussos_2024.infant.GLU/rs11076836_count_position.png",4,220,900)</f>
        <v/>
      </c>
      <c r="T1367">
        <f>IMAGE("https://mitra.stanford.edu/kundaje/oak/projects/neuro-variants/variant_position/credible/roussos_2024/variant_figures/roussos_2024.infant.GLU/rs11076836_profile_position.png",4,220,900)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0.162163656</v>
      </c>
      <c r="G1368" t="n">
        <v>0.0176273598829947</v>
      </c>
      <c r="H1368" t="n">
        <v>0.045828658701243</v>
      </c>
      <c r="I1368" t="n">
        <v>0.0115180133073758</v>
      </c>
      <c r="J1368" t="n">
        <v>0.0611466302167155</v>
      </c>
      <c r="K1368" t="n">
        <v>0.3097155064286991</v>
      </c>
      <c r="L1368" t="b">
        <v>1</v>
      </c>
      <c r="M1368" t="b">
        <v>0</v>
      </c>
      <c r="N1368" t="inlineStr">
        <is>
          <t>alt</t>
        </is>
      </c>
      <c r="O1368" t="n">
        <v>-60</v>
      </c>
      <c r="P1368" t="n">
        <v>0.005955</v>
      </c>
      <c r="Q1368" t="n">
        <v>-40</v>
      </c>
      <c r="R1368" t="n">
        <v>0.01624</v>
      </c>
      <c r="S1368">
        <f>IMAGE("https://mitra.stanford.edu/kundaje/oak/projects/neuro-variants/variant_position/credible/roussos_2024/variant_figures/roussos_2024.infant.GLU/rs11076837_count_position.png",4,220,900)</f>
        <v/>
      </c>
      <c r="T1368">
        <f>IMAGE("https://mitra.stanford.edu/kundaje/oak/projects/neuro-variants/variant_position/credible/roussos_2024/variant_figures/roussos_2024.infant.GLU/rs11076837_profile_position.png",4,220,900)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-0.02305529408</v>
      </c>
      <c r="G1369" t="n">
        <v>0.4023478206356897</v>
      </c>
      <c r="H1369" t="n">
        <v>0.0115010761895337</v>
      </c>
      <c r="I1369" t="n">
        <v>0.5957297725885143</v>
      </c>
      <c r="J1369" t="n">
        <v>0.0587997971736589</v>
      </c>
      <c r="K1369" t="n">
        <v>0.3081309350542718</v>
      </c>
      <c r="L1369" t="b">
        <v>0</v>
      </c>
      <c r="M1369" t="b">
        <v>0</v>
      </c>
      <c r="N1369" t="inlineStr">
        <is>
          <t>ref</t>
        </is>
      </c>
      <c r="O1369" t="n">
        <v>-100</v>
      </c>
      <c r="P1369" t="n">
        <v>0.006805</v>
      </c>
      <c r="Q1369" t="n">
        <v>25</v>
      </c>
      <c r="R1369" t="n">
        <v>0.03552</v>
      </c>
      <c r="S1369">
        <f>IMAGE("https://mitra.stanford.edu/kundaje/oak/projects/neuro-variants/variant_position/credible/roussos_2024/variant_figures/roussos_2024.infant.GLU/rs4786519_count_position.png",4,220,900)</f>
        <v/>
      </c>
      <c r="T1369">
        <f>IMAGE("https://mitra.stanford.edu/kundaje/oak/projects/neuro-variants/variant_position/credible/roussos_2024/variant_figures/roussos_2024.infant.GLU/rs4786519_profile_position.png",4,220,900)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0.0826897385999999</v>
      </c>
      <c r="G1370" t="n">
        <v>0.076551887597357</v>
      </c>
      <c r="H1370" t="n">
        <v>0.0181191340406051</v>
      </c>
      <c r="I1370" t="n">
        <v>0.2391098801057502</v>
      </c>
      <c r="J1370" t="n">
        <v>0.0465784078132233</v>
      </c>
      <c r="K1370" t="n">
        <v>0.3613163629349585</v>
      </c>
      <c r="L1370" t="b">
        <v>0</v>
      </c>
      <c r="M1370" t="b">
        <v>0</v>
      </c>
      <c r="N1370" t="inlineStr">
        <is>
          <t>alt</t>
        </is>
      </c>
      <c r="O1370" t="n">
        <v>-95</v>
      </c>
      <c r="P1370" t="n">
        <v>0.002573</v>
      </c>
      <c r="Q1370" t="n">
        <v>-45</v>
      </c>
      <c r="R1370" t="n">
        <v>0.0349</v>
      </c>
      <c r="S1370">
        <f>IMAGE("https://mitra.stanford.edu/kundaje/oak/projects/neuro-variants/variant_position/credible/roussos_2024/variant_figures/roussos_2024.infant.GLU/rs12596497_count_position.png",4,220,900)</f>
        <v/>
      </c>
      <c r="T1370">
        <f>IMAGE("https://mitra.stanford.edu/kundaje/oak/projects/neuro-variants/variant_position/credible/roussos_2024/variant_figures/roussos_2024.infant.GLU/rs12596497_profile_position.png",4,220,900)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0.0180332192</v>
      </c>
      <c r="G1371" t="n">
        <v>0.4702586144383571</v>
      </c>
      <c r="H1371" t="n">
        <v>0.0347606314099005</v>
      </c>
      <c r="I1371" t="n">
        <v>0.0347209588198439</v>
      </c>
      <c r="J1371" t="n">
        <v>0.08148658480125209</v>
      </c>
      <c r="K1371" t="n">
        <v>0.2505219593615316</v>
      </c>
      <c r="L1371" t="b">
        <v>0</v>
      </c>
      <c r="M1371" t="b">
        <v>0</v>
      </c>
      <c r="N1371" t="inlineStr">
        <is>
          <t>alt</t>
        </is>
      </c>
      <c r="O1371" t="n">
        <v>20</v>
      </c>
      <c r="P1371" t="n">
        <v>0.00299</v>
      </c>
      <c r="Q1371" t="n">
        <v>40</v>
      </c>
      <c r="R1371" t="n">
        <v>0.00818</v>
      </c>
      <c r="S1371">
        <f>IMAGE("https://mitra.stanford.edu/kundaje/oak/projects/neuro-variants/variant_position/credible/roussos_2024/variant_figures/roussos_2024.infant.GLU/rs929468_count_position.png",4,220,900)</f>
        <v/>
      </c>
      <c r="T1371">
        <f>IMAGE("https://mitra.stanford.edu/kundaje/oak/projects/neuro-variants/variant_position/credible/roussos_2024/variant_figures/roussos_2024.infant.GLU/rs929468_profile_position.png",4,220,900)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-0.0744355882</v>
      </c>
      <c r="G1372" t="n">
        <v>0.090850684221011</v>
      </c>
      <c r="H1372" t="n">
        <v>0.0217331335697048</v>
      </c>
      <c r="I1372" t="n">
        <v>0.148631971195659</v>
      </c>
      <c r="J1372" t="n">
        <v>0.07437663969664229</v>
      </c>
      <c r="K1372" t="n">
        <v>0.2650075690019643</v>
      </c>
      <c r="L1372" t="b">
        <v>0</v>
      </c>
      <c r="M1372" t="b">
        <v>0</v>
      </c>
      <c r="N1372" t="inlineStr">
        <is>
          <t>ref</t>
        </is>
      </c>
      <c r="O1372" t="n">
        <v>-100</v>
      </c>
      <c r="P1372" t="n">
        <v>0.1053</v>
      </c>
      <c r="Q1372" t="n">
        <v>-15</v>
      </c>
      <c r="R1372" t="n">
        <v>0.006104</v>
      </c>
      <c r="S1372">
        <f>IMAGE("https://mitra.stanford.edu/kundaje/oak/projects/neuro-variants/variant_position/credible/roussos_2024/variant_figures/roussos_2024.infant.GLU/rs57105172_count_position.png",4,220,900)</f>
        <v/>
      </c>
      <c r="T1372">
        <f>IMAGE("https://mitra.stanford.edu/kundaje/oak/projects/neuro-variants/variant_position/credible/roussos_2024/variant_figures/roussos_2024.infant.GLU/rs57105172_profile_position.png",4,220,900)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0.0120136722</v>
      </c>
      <c r="G1373" t="n">
        <v>0.39187273680691</v>
      </c>
      <c r="H1373" t="n">
        <v>0.0233922156958601</v>
      </c>
      <c r="I1373" t="n">
        <v>0.1219547816221442</v>
      </c>
      <c r="J1373" t="n">
        <v>0.0056978769373222</v>
      </c>
      <c r="K1373" t="n">
        <v>0.7361726079866379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0.0209</v>
      </c>
      <c r="Q1373" t="n">
        <v>-50</v>
      </c>
      <c r="R1373" t="n">
        <v>0.04388</v>
      </c>
      <c r="S1373">
        <f>IMAGE("https://mitra.stanford.edu/kundaje/oak/projects/neuro-variants/variant_position/credible/roussos_2024/variant_figures/roussos_2024.infant.GLU/rs66926752_count_position.png",4,220,900)</f>
        <v/>
      </c>
      <c r="T1373">
        <f>IMAGE("https://mitra.stanford.edu/kundaje/oak/projects/neuro-variants/variant_position/credible/roussos_2024/variant_figures/roussos_2024.infant.GLU/rs66926752_profile_position.png",4,220,900)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0.0986371196</v>
      </c>
      <c r="G1374" t="n">
        <v>0.0570739100494989</v>
      </c>
      <c r="H1374" t="n">
        <v>0.0413103638854817</v>
      </c>
      <c r="I1374" t="n">
        <v>0.0177241138420186</v>
      </c>
      <c r="J1374" t="n">
        <v>0.091593730020503</v>
      </c>
      <c r="K1374" t="n">
        <v>0.2285367353407057</v>
      </c>
      <c r="L1374" t="b">
        <v>1</v>
      </c>
      <c r="M1374" t="b">
        <v>0</v>
      </c>
      <c r="N1374" t="inlineStr">
        <is>
          <t>alt</t>
        </is>
      </c>
      <c r="O1374" t="n">
        <v>10</v>
      </c>
      <c r="P1374" t="n">
        <v>0.01355</v>
      </c>
      <c r="Q1374" t="n">
        <v>15</v>
      </c>
      <c r="R1374" t="n">
        <v>0.04395</v>
      </c>
      <c r="S1374">
        <f>IMAGE("https://mitra.stanford.edu/kundaje/oak/projects/neuro-variants/variant_position/credible/roussos_2024/variant_figures/roussos_2024.infant.GLU/rs11076959_count_position.png",4,220,900)</f>
        <v/>
      </c>
      <c r="T1374">
        <f>IMAGE("https://mitra.stanford.edu/kundaje/oak/projects/neuro-variants/variant_position/credible/roussos_2024/variant_figures/roussos_2024.infant.GLU/rs11076959_profile_position.png",4,220,900)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-0.0045493251459999</v>
      </c>
      <c r="G1375" t="n">
        <v>0.7625261845662858</v>
      </c>
      <c r="H1375" t="n">
        <v>0.0142946016545233</v>
      </c>
      <c r="I1375" t="n">
        <v>0.4040918944606878</v>
      </c>
      <c r="J1375" t="n">
        <v>0.0041987257214664</v>
      </c>
      <c r="K1375" t="n">
        <v>0.7953162211374594</v>
      </c>
      <c r="L1375" t="b">
        <v>0</v>
      </c>
      <c r="M1375" t="b">
        <v>0</v>
      </c>
      <c r="N1375" t="inlineStr">
        <is>
          <t>ref</t>
        </is>
      </c>
      <c r="O1375" t="n">
        <v>-5</v>
      </c>
      <c r="P1375" t="n">
        <v>0.001625</v>
      </c>
      <c r="Q1375" t="n">
        <v>-95</v>
      </c>
      <c r="R1375" t="n">
        <v>0.07324</v>
      </c>
      <c r="S1375">
        <f>IMAGE("https://mitra.stanford.edu/kundaje/oak/projects/neuro-variants/variant_position/credible/roussos_2024/variant_figures/roussos_2024.infant.GLU/rs9929010_count_position.png",4,220,900)</f>
        <v/>
      </c>
      <c r="T1375">
        <f>IMAGE("https://mitra.stanford.edu/kundaje/oak/projects/neuro-variants/variant_position/credible/roussos_2024/variant_figures/roussos_2024.infant.GLU/rs9929010_profile_position.png",4,220,900)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0.22082016</v>
      </c>
      <c r="G1376" t="n">
        <v>0.0085348741768933</v>
      </c>
      <c r="H1376" t="n">
        <v>0.0434753512457182</v>
      </c>
      <c r="I1376" t="n">
        <v>0.0146821921829656</v>
      </c>
      <c r="J1376" t="n">
        <v>0.0612149738750854</v>
      </c>
      <c r="K1376" t="n">
        <v>0.2990873194955005</v>
      </c>
      <c r="L1376" t="b">
        <v>1</v>
      </c>
      <c r="M1376" t="b">
        <v>1</v>
      </c>
      <c r="N1376" t="inlineStr">
        <is>
          <t>alt</t>
        </is>
      </c>
      <c r="O1376" t="n">
        <v>-20</v>
      </c>
      <c r="P1376" t="n">
        <v>0.000717</v>
      </c>
      <c r="Q1376" t="n">
        <v>-100</v>
      </c>
      <c r="R1376" t="n">
        <v>0.09937</v>
      </c>
      <c r="S1376">
        <f>IMAGE("https://mitra.stanford.edu/kundaje/oak/projects/neuro-variants/variant_position/credible/roussos_2024/variant_figures/roussos_2024.infant.GLU/rs6500717_count_position.png",4,220,900)</f>
        <v/>
      </c>
      <c r="T1376">
        <f>IMAGE("https://mitra.stanford.edu/kundaje/oak/projects/neuro-variants/variant_position/credible/roussos_2024/variant_figures/roussos_2024.infant.GLU/rs6500717_profile_position.png",4,220,900)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-0.177419108</v>
      </c>
      <c r="G1377" t="n">
        <v>0.0138576435093387</v>
      </c>
      <c r="H1377" t="n">
        <v>0.0429808673605247</v>
      </c>
      <c r="I1377" t="n">
        <v>0.0150998678867968</v>
      </c>
      <c r="J1377" t="n">
        <v>0.4804823739500429</v>
      </c>
      <c r="K1377" t="n">
        <v>0.0333578793670071</v>
      </c>
      <c r="L1377" t="b">
        <v>1</v>
      </c>
      <c r="M1377" t="b">
        <v>0</v>
      </c>
      <c r="N1377" t="inlineStr">
        <is>
          <t>ref</t>
        </is>
      </c>
      <c r="O1377" t="n">
        <v>-10</v>
      </c>
      <c r="P1377" t="n">
        <v>0.002014</v>
      </c>
      <c r="Q1377" t="n">
        <v>-45</v>
      </c>
      <c r="R1377" t="n">
        <v>0.03125</v>
      </c>
      <c r="S1377">
        <f>IMAGE("https://mitra.stanford.edu/kundaje/oak/projects/neuro-variants/variant_position/credible/roussos_2024/variant_figures/roussos_2024.infant.GLU/rs7189389_count_position.png",4,220,900)</f>
        <v/>
      </c>
      <c r="T1377">
        <f>IMAGE("https://mitra.stanford.edu/kundaje/oak/projects/neuro-variants/variant_position/credible/roussos_2024/variant_figures/roussos_2024.infant.GLU/rs7189389_profile_position.png",4,220,900)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-0.0209374884</v>
      </c>
      <c r="G1378" t="n">
        <v>0.4350506732193359</v>
      </c>
      <c r="H1378" t="n">
        <v>0.0468522865778294</v>
      </c>
      <c r="I1378" t="n">
        <v>0.0103675216533698</v>
      </c>
      <c r="J1378" t="n">
        <v>0.0029277541392005</v>
      </c>
      <c r="K1378" t="n">
        <v>0.8075853223677071</v>
      </c>
      <c r="L1378" t="b">
        <v>0</v>
      </c>
      <c r="M1378" t="b">
        <v>0</v>
      </c>
      <c r="N1378" t="inlineStr">
        <is>
          <t>ref</t>
        </is>
      </c>
      <c r="O1378" t="n">
        <v>65</v>
      </c>
      <c r="P1378" t="n">
        <v>0.00473</v>
      </c>
      <c r="Q1378" t="n">
        <v>85</v>
      </c>
      <c r="R1378" t="n">
        <v>0.1185</v>
      </c>
      <c r="S1378">
        <f>IMAGE("https://mitra.stanford.edu/kundaje/oak/projects/neuro-variants/variant_position/credible/roussos_2024/variant_figures/roussos_2024.infant.GLU/rs3900820_count_position.png",4,220,900)</f>
        <v/>
      </c>
      <c r="T1378">
        <f>IMAGE("https://mitra.stanford.edu/kundaje/oak/projects/neuro-variants/variant_position/credible/roussos_2024/variant_figures/roussos_2024.infant.GLU/rs3900820_profile_position.png",4,220,900)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-0.0509734805999999</v>
      </c>
      <c r="G1379" t="n">
        <v>0.1643806693099399</v>
      </c>
      <c r="H1379" t="n">
        <v>0.0166507011755</v>
      </c>
      <c r="I1379" t="n">
        <v>0.2887169560955169</v>
      </c>
      <c r="J1379" t="n">
        <v>0.1251780242068828</v>
      </c>
      <c r="K1379" t="n">
        <v>0.1710123755080946</v>
      </c>
      <c r="L1379" t="b">
        <v>0</v>
      </c>
      <c r="M1379" t="b">
        <v>0</v>
      </c>
      <c r="N1379" t="inlineStr">
        <is>
          <t>ref</t>
        </is>
      </c>
      <c r="O1379" t="n">
        <v>100</v>
      </c>
      <c r="P1379" t="n">
        <v>0.01396</v>
      </c>
      <c r="Q1379" t="n">
        <v>-95</v>
      </c>
      <c r="R1379" t="n">
        <v>0.02124</v>
      </c>
      <c r="S1379">
        <f>IMAGE("https://mitra.stanford.edu/kundaje/oak/projects/neuro-variants/variant_position/credible/roussos_2024/variant_figures/roussos_2024.infant.GLU/rs9927114_count_position.png",4,220,900)</f>
        <v/>
      </c>
      <c r="T1379">
        <f>IMAGE("https://mitra.stanford.edu/kundaje/oak/projects/neuro-variants/variant_position/credible/roussos_2024/variant_figures/roussos_2024.infant.GLU/rs9927114_profile_position.png",4,220,900)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-0.0184268467</v>
      </c>
      <c r="G1380" t="n">
        <v>0.4760432274789208</v>
      </c>
      <c r="H1380" t="n">
        <v>0.0159219132224489</v>
      </c>
      <c r="I1380" t="n">
        <v>0.3157620963483446</v>
      </c>
      <c r="J1380" t="n">
        <v>0.1284177340770298</v>
      </c>
      <c r="K1380" t="n">
        <v>0.1669581736035795</v>
      </c>
      <c r="L1380" t="b">
        <v>0</v>
      </c>
      <c r="M1380" t="b">
        <v>0</v>
      </c>
      <c r="N1380" t="inlineStr">
        <is>
          <t>ref</t>
        </is>
      </c>
      <c r="O1380" t="n">
        <v>100</v>
      </c>
      <c r="P1380" t="n">
        <v>0.013596</v>
      </c>
      <c r="Q1380" t="n">
        <v>-100</v>
      </c>
      <c r="R1380" t="n">
        <v>0.0847</v>
      </c>
      <c r="S1380">
        <f>IMAGE("https://mitra.stanford.edu/kundaje/oak/projects/neuro-variants/variant_position/credible/roussos_2024/variant_figures/roussos_2024.infant.GLU/rs9927115_count_position.png",4,220,900)</f>
        <v/>
      </c>
      <c r="T1380">
        <f>IMAGE("https://mitra.stanford.edu/kundaje/oak/projects/neuro-variants/variant_position/credible/roussos_2024/variant_figures/roussos_2024.infant.GLU/rs9927115_profile_position.png",4,220,900)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0.008241286739999999</v>
      </c>
      <c r="G1381" t="n">
        <v>0.6433772930878333</v>
      </c>
      <c r="H1381" t="n">
        <v>0.0102827421910587</v>
      </c>
      <c r="I1381" t="n">
        <v>0.7123996992687309</v>
      </c>
      <c r="J1381" t="n">
        <v>0.2211126788509446</v>
      </c>
      <c r="K1381" t="n">
        <v>0.0971903563595687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0.01566</v>
      </c>
      <c r="Q1381" t="n">
        <v>100</v>
      </c>
      <c r="R1381" t="n">
        <v>0.2454</v>
      </c>
      <c r="S1381">
        <f>IMAGE("https://mitra.stanford.edu/kundaje/oak/projects/neuro-variants/variant_position/credible/roussos_2024/variant_figures/roussos_2024.infant.GLU/rs9927274_count_position.png",4,220,900)</f>
        <v/>
      </c>
      <c r="T1381">
        <f>IMAGE("https://mitra.stanford.edu/kundaje/oak/projects/neuro-variants/variant_position/credible/roussos_2024/variant_figures/roussos_2024.infant.GLU/rs9927274_profile_position.png",4,220,900)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0.192439356</v>
      </c>
      <c r="G1382" t="n">
        <v>0.0118973152541028</v>
      </c>
      <c r="H1382" t="n">
        <v>0.0245360875117301</v>
      </c>
      <c r="I1382" t="n">
        <v>0.1075366251620024</v>
      </c>
      <c r="J1382" t="n">
        <v>0.3904120461209462</v>
      </c>
      <c r="K1382" t="n">
        <v>0.0467591948557044</v>
      </c>
      <c r="L1382" t="b">
        <v>1</v>
      </c>
      <c r="M1382" t="b">
        <v>0</v>
      </c>
      <c r="N1382" t="inlineStr">
        <is>
          <t>alt</t>
        </is>
      </c>
      <c r="O1382" t="n">
        <v>85</v>
      </c>
      <c r="P1382" t="n">
        <v>0.01588</v>
      </c>
      <c r="Q1382" t="n">
        <v>70</v>
      </c>
      <c r="R1382" t="n">
        <v>0.1084</v>
      </c>
      <c r="S1382">
        <f>IMAGE("https://mitra.stanford.edu/kundaje/oak/projects/neuro-variants/variant_position/credible/roussos_2024/variant_figures/roussos_2024.infant.GLU/rs9929578_count_position.png",4,220,900)</f>
        <v/>
      </c>
      <c r="T1382">
        <f>IMAGE("https://mitra.stanford.edu/kundaje/oak/projects/neuro-variants/variant_position/credible/roussos_2024/variant_figures/roussos_2024.infant.GLU/rs9929578_profile_position.png",4,220,900)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0.1846211548</v>
      </c>
      <c r="G1383" t="n">
        <v>0.0169903974410623</v>
      </c>
      <c r="H1383" t="n">
        <v>0.0325100273642593</v>
      </c>
      <c r="I1383" t="n">
        <v>0.0450303109153169</v>
      </c>
      <c r="J1383" t="n">
        <v>0.1419497784342688</v>
      </c>
      <c r="K1383" t="n">
        <v>0.1508478905002783</v>
      </c>
      <c r="L1383" t="b">
        <v>1</v>
      </c>
      <c r="M1383" t="b">
        <v>0</v>
      </c>
      <c r="N1383" t="inlineStr">
        <is>
          <t>alt</t>
        </is>
      </c>
      <c r="O1383" t="n">
        <v>-80</v>
      </c>
      <c r="P1383" t="n">
        <v>0.05652</v>
      </c>
      <c r="Q1383" t="n">
        <v>-90</v>
      </c>
      <c r="R1383" t="n">
        <v>0.1929</v>
      </c>
      <c r="S1383">
        <f>IMAGE("https://mitra.stanford.edu/kundaje/oak/projects/neuro-variants/variant_position/credible/roussos_2024/variant_figures/roussos_2024.infant.GLU/rs11648113_count_position.png",4,220,900)</f>
        <v/>
      </c>
      <c r="T1383">
        <f>IMAGE("https://mitra.stanford.edu/kundaje/oak/projects/neuro-variants/variant_position/credible/roussos_2024/variant_figures/roussos_2024.infant.GLU/rs11648113_profile_position.png",4,220,900)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-0.0204805663</v>
      </c>
      <c r="G1384" t="n">
        <v>0.4339630077046806</v>
      </c>
      <c r="H1384" t="n">
        <v>0.0103697247265747</v>
      </c>
      <c r="I1384" t="n">
        <v>0.7038074761954931</v>
      </c>
      <c r="J1384" t="n">
        <v>0.0176954959324499</v>
      </c>
      <c r="K1384" t="n">
        <v>0.5600198286983228</v>
      </c>
      <c r="L1384" t="b">
        <v>0</v>
      </c>
      <c r="M1384" t="b">
        <v>0</v>
      </c>
      <c r="N1384" t="inlineStr">
        <is>
          <t>ref</t>
        </is>
      </c>
      <c r="O1384" t="n">
        <v>-100</v>
      </c>
      <c r="P1384" t="n">
        <v>0.02072</v>
      </c>
      <c r="Q1384" t="n">
        <v>-35</v>
      </c>
      <c r="R1384" t="n">
        <v>0.03546</v>
      </c>
      <c r="S1384">
        <f>IMAGE("https://mitra.stanford.edu/kundaje/oak/projects/neuro-variants/variant_position/credible/roussos_2024/variant_figures/roussos_2024.infant.GLU/rs7198618_count_position.png",4,220,900)</f>
        <v/>
      </c>
      <c r="T1384">
        <f>IMAGE("https://mitra.stanford.edu/kundaje/oak/projects/neuro-variants/variant_position/credible/roussos_2024/variant_figures/roussos_2024.infant.GLU/rs7198618_profile_position.png",4,220,900)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0.0187004764</v>
      </c>
      <c r="G1385" t="n">
        <v>0.4533501701806319</v>
      </c>
      <c r="H1385" t="n">
        <v>0.0245222594084917</v>
      </c>
      <c r="I1385" t="n">
        <v>0.1066251296672998</v>
      </c>
      <c r="J1385" t="n">
        <v>0.0028550012125487</v>
      </c>
      <c r="K1385" t="n">
        <v>0.8159723349802154</v>
      </c>
      <c r="L1385" t="b">
        <v>0</v>
      </c>
      <c r="M1385" t="b">
        <v>0</v>
      </c>
      <c r="N1385" t="inlineStr">
        <is>
          <t>alt</t>
        </is>
      </c>
      <c r="O1385" t="n">
        <v>100</v>
      </c>
      <c r="P1385" t="n">
        <v>0.0107</v>
      </c>
      <c r="Q1385" t="n">
        <v>-20</v>
      </c>
      <c r="R1385" t="n">
        <v>0.03827</v>
      </c>
      <c r="S1385">
        <f>IMAGE("https://mitra.stanford.edu/kundaje/oak/projects/neuro-variants/variant_position/credible/roussos_2024/variant_figures/roussos_2024.infant.GLU/rs11861310_count_position.png",4,220,900)</f>
        <v/>
      </c>
      <c r="T1385">
        <f>IMAGE("https://mitra.stanford.edu/kundaje/oak/projects/neuro-variants/variant_position/credible/roussos_2024/variant_figures/roussos_2024.infant.GLU/rs11861310_profile_position.png",4,220,900)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-0.004475298828</v>
      </c>
      <c r="G1386" t="n">
        <v>0.8241960806408416</v>
      </c>
      <c r="H1386" t="n">
        <v>0.0075550741283534</v>
      </c>
      <c r="I1386" t="n">
        <v>0.9305035839235016</v>
      </c>
      <c r="J1386" t="n">
        <v>0.0319495579708547</v>
      </c>
      <c r="K1386" t="n">
        <v>0.4389888659580929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0.02989</v>
      </c>
      <c r="Q1386" t="n">
        <v>70</v>
      </c>
      <c r="R1386" t="n">
        <v>0.1769</v>
      </c>
      <c r="S1386">
        <f>IMAGE("https://mitra.stanford.edu/kundaje/oak/projects/neuro-variants/variant_position/credible/roussos_2024/variant_figures/roussos_2024.infant.GLU/rs56142463_count_position.png",4,220,900)</f>
        <v/>
      </c>
      <c r="T1386">
        <f>IMAGE("https://mitra.stanford.edu/kundaje/oak/projects/neuro-variants/variant_position/credible/roussos_2024/variant_figures/roussos_2024.infant.GLU/rs56142463_profile_position.png",4,220,900)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0.0579404521999999</v>
      </c>
      <c r="G1387" t="n">
        <v>0.1396620396572823</v>
      </c>
      <c r="H1387" t="n">
        <v>0.0171888613551211</v>
      </c>
      <c r="I1387" t="n">
        <v>0.2690912757832567</v>
      </c>
      <c r="J1387" t="n">
        <v>0.5472883000066139</v>
      </c>
      <c r="K1387" t="n">
        <v>0.0256999663801857</v>
      </c>
      <c r="L1387" t="b">
        <v>0</v>
      </c>
      <c r="M1387" t="b">
        <v>0</v>
      </c>
      <c r="N1387" t="inlineStr">
        <is>
          <t>alt</t>
        </is>
      </c>
      <c r="O1387" t="n">
        <v>60</v>
      </c>
      <c r="P1387" t="n">
        <v>0.008316</v>
      </c>
      <c r="Q1387" t="n">
        <v>65</v>
      </c>
      <c r="R1387" t="n">
        <v>0.07199999999999999</v>
      </c>
      <c r="S1387">
        <f>IMAGE("https://mitra.stanford.edu/kundaje/oak/projects/neuro-variants/variant_position/credible/roussos_2024/variant_figures/roussos_2024.infant.GLU/rs12051021_count_position.png",4,220,900)</f>
        <v/>
      </c>
      <c r="T1387">
        <f>IMAGE("https://mitra.stanford.edu/kundaje/oak/projects/neuro-variants/variant_position/credible/roussos_2024/variant_figures/roussos_2024.infant.GLU/rs12051021_profile_position.png",4,220,900)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0.00452172934</v>
      </c>
      <c r="G1388" t="n">
        <v>0.7634458168972432</v>
      </c>
      <c r="H1388" t="n">
        <v>0.007898823039240201</v>
      </c>
      <c r="I1388" t="n">
        <v>0.9175559229360492</v>
      </c>
      <c r="J1388" t="n">
        <v>0.1944366057452765</v>
      </c>
      <c r="K1388" t="n">
        <v>0.1155672275099638</v>
      </c>
      <c r="L1388" t="b">
        <v>0</v>
      </c>
      <c r="M1388" t="b">
        <v>0</v>
      </c>
      <c r="N1388" t="inlineStr">
        <is>
          <t>alt</t>
        </is>
      </c>
      <c r="O1388" t="n">
        <v>40</v>
      </c>
      <c r="P1388" t="n">
        <v>0.01271</v>
      </c>
      <c r="Q1388" t="n">
        <v>-100</v>
      </c>
      <c r="R1388" t="n">
        <v>0.009520000000000001</v>
      </c>
      <c r="S1388">
        <f>IMAGE("https://mitra.stanford.edu/kundaje/oak/projects/neuro-variants/variant_position/credible/roussos_2024/variant_figures/roussos_2024.infant.GLU/rs17143361_count_position.png",4,220,900)</f>
        <v/>
      </c>
      <c r="T1388">
        <f>IMAGE("https://mitra.stanford.edu/kundaje/oak/projects/neuro-variants/variant_position/credible/roussos_2024/variant_figures/roussos_2024.infant.GLU/rs17143361_profile_position.png",4,220,900)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0.0294817294</v>
      </c>
      <c r="G1389" t="n">
        <v>0.3111112566920198</v>
      </c>
      <c r="H1389" t="n">
        <v>0.0319657521047134</v>
      </c>
      <c r="I1389" t="n">
        <v>0.0465489070595675</v>
      </c>
      <c r="J1389" t="n">
        <v>0.0323585176040035</v>
      </c>
      <c r="K1389" t="n">
        <v>0.4350012651571464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0.004333</v>
      </c>
      <c r="Q1389" t="n">
        <v>-95</v>
      </c>
      <c r="R1389" t="n">
        <v>0.05362</v>
      </c>
      <c r="S1389">
        <f>IMAGE("https://mitra.stanford.edu/kundaje/oak/projects/neuro-variants/variant_position/credible/roussos_2024/variant_figures/roussos_2024.infant.GLU/rs4331351_count_position.png",4,220,900)</f>
        <v/>
      </c>
      <c r="T1389">
        <f>IMAGE("https://mitra.stanford.edu/kundaje/oak/projects/neuro-variants/variant_position/credible/roussos_2024/variant_figures/roussos_2024.infant.GLU/rs4331351_profile_position.png",4,220,900)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0.0261095730799999</v>
      </c>
      <c r="G1390" t="n">
        <v>0.3759054253491831</v>
      </c>
      <c r="H1390" t="n">
        <v>0.0102826170924283</v>
      </c>
      <c r="I1390" t="n">
        <v>0.7037730695673453</v>
      </c>
      <c r="J1390" t="n">
        <v>0.0402830750236997</v>
      </c>
      <c r="K1390" t="n">
        <v>0.3912533399672756</v>
      </c>
      <c r="L1390" t="b">
        <v>0</v>
      </c>
      <c r="M1390" t="b">
        <v>0</v>
      </c>
      <c r="N1390" t="inlineStr">
        <is>
          <t>alt</t>
        </is>
      </c>
      <c r="O1390" t="n">
        <v>-75</v>
      </c>
      <c r="P1390" t="n">
        <v>0.02263</v>
      </c>
      <c r="Q1390" t="n">
        <v>10</v>
      </c>
      <c r="R1390" t="n">
        <v>0.01755</v>
      </c>
      <c r="S1390">
        <f>IMAGE("https://mitra.stanford.edu/kundaje/oak/projects/neuro-variants/variant_position/credible/roussos_2024/variant_figures/roussos_2024.infant.GLU/rs4479249_count_position.png",4,220,900)</f>
        <v/>
      </c>
      <c r="T1390">
        <f>IMAGE("https://mitra.stanford.edu/kundaje/oak/projects/neuro-variants/variant_position/credible/roussos_2024/variant_figures/roussos_2024.infant.GLU/rs4479249_profile_position.png",4,220,900)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-0.146726064</v>
      </c>
      <c r="G1391" t="n">
        <v>0.022010110063732</v>
      </c>
      <c r="H1391" t="n">
        <v>0.026948028838685</v>
      </c>
      <c r="I1391" t="n">
        <v>0.0815231665794251</v>
      </c>
      <c r="J1391" t="n">
        <v>0.1225743512864039</v>
      </c>
      <c r="K1391" t="n">
        <v>0.1969912031608064</v>
      </c>
      <c r="L1391" t="b">
        <v>0</v>
      </c>
      <c r="M1391" t="b">
        <v>0</v>
      </c>
      <c r="N1391" t="inlineStr">
        <is>
          <t>ref</t>
        </is>
      </c>
      <c r="O1391" t="n">
        <v>15</v>
      </c>
      <c r="P1391" t="n">
        <v>0.003448</v>
      </c>
      <c r="Q1391" t="n">
        <v>35</v>
      </c>
      <c r="R1391" t="n">
        <v>0.1431</v>
      </c>
      <c r="S1391">
        <f>IMAGE("https://mitra.stanford.edu/kundaje/oak/projects/neuro-variants/variant_position/credible/roussos_2024/variant_figures/roussos_2024.infant.GLU/rs4787008_count_position.png",4,220,900)</f>
        <v/>
      </c>
      <c r="T1391">
        <f>IMAGE("https://mitra.stanford.edu/kundaje/oak/projects/neuro-variants/variant_position/credible/roussos_2024/variant_figures/roussos_2024.infant.GLU/rs4787008_profile_position.png",4,220,900)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0.00425375012</v>
      </c>
      <c r="G1392" t="n">
        <v>0.7649660064113188</v>
      </c>
      <c r="H1392" t="n">
        <v>0.0137774696177873</v>
      </c>
      <c r="I1392" t="n">
        <v>0.4334583287160278</v>
      </c>
      <c r="J1392" t="n">
        <v>0.1847472386957384</v>
      </c>
      <c r="K1392" t="n">
        <v>0.1244596339440285</v>
      </c>
      <c r="L1392" t="b">
        <v>0</v>
      </c>
      <c r="M1392" t="b">
        <v>0</v>
      </c>
      <c r="N1392" t="inlineStr">
        <is>
          <t>alt</t>
        </is>
      </c>
      <c r="O1392" t="n">
        <v>-65</v>
      </c>
      <c r="P1392" t="n">
        <v>0.00663</v>
      </c>
      <c r="Q1392" t="n">
        <v>-10</v>
      </c>
      <c r="R1392" t="n">
        <v>0.001465</v>
      </c>
      <c r="S1392">
        <f>IMAGE("https://mitra.stanford.edu/kundaje/oak/projects/neuro-variants/variant_position/credible/roussos_2024/variant_figures/roussos_2024.infant.GLU/rs8055816_count_position.png",4,220,900)</f>
        <v/>
      </c>
      <c r="T1392">
        <f>IMAGE("https://mitra.stanford.edu/kundaje/oak/projects/neuro-variants/variant_position/credible/roussos_2024/variant_figures/roussos_2024.infant.GLU/rs8055816_profile_position.png",4,220,900)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0.0284429886</v>
      </c>
      <c r="G1393" t="n">
        <v>0.3261698722041972</v>
      </c>
      <c r="H1393" t="n">
        <v>0.0093624782501277</v>
      </c>
      <c r="I1393" t="n">
        <v>0.7986996321755683</v>
      </c>
      <c r="J1393" t="n">
        <v>0.0193621993430189</v>
      </c>
      <c r="K1393" t="n">
        <v>0.5488704177970405</v>
      </c>
      <c r="L1393" t="b">
        <v>0</v>
      </c>
      <c r="M1393" t="b">
        <v>0</v>
      </c>
      <c r="N1393" t="inlineStr">
        <is>
          <t>alt</t>
        </is>
      </c>
      <c r="O1393" t="n">
        <v>85</v>
      </c>
      <c r="P1393" t="n">
        <v>0.0665</v>
      </c>
      <c r="Q1393" t="n">
        <v>85</v>
      </c>
      <c r="R1393" t="n">
        <v>0.1926</v>
      </c>
      <c r="S1393">
        <f>IMAGE("https://mitra.stanford.edu/kundaje/oak/projects/neuro-variants/variant_position/credible/roussos_2024/variant_figures/roussos_2024.infant.GLU/rs2077923_count_position.png",4,220,900)</f>
        <v/>
      </c>
      <c r="T1393">
        <f>IMAGE("https://mitra.stanford.edu/kundaje/oak/projects/neuro-variants/variant_position/credible/roussos_2024/variant_figures/roussos_2024.infant.GLU/rs2077923_profile_position.png",4,220,900)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-0.0399821001999999</v>
      </c>
      <c r="G1394" t="n">
        <v>0.2326230346842496</v>
      </c>
      <c r="H1394" t="n">
        <v>0.0113512806145341</v>
      </c>
      <c r="I1394" t="n">
        <v>0.6171706360881655</v>
      </c>
      <c r="J1394" t="n">
        <v>0.0450759496461561</v>
      </c>
      <c r="K1394" t="n">
        <v>0.3594862327029716</v>
      </c>
      <c r="L1394" t="b">
        <v>0</v>
      </c>
      <c r="M1394" t="b">
        <v>0</v>
      </c>
      <c r="N1394" t="inlineStr">
        <is>
          <t>ref</t>
        </is>
      </c>
      <c r="O1394" t="n">
        <v>-95</v>
      </c>
      <c r="P1394" t="n">
        <v>0.007996</v>
      </c>
      <c r="Q1394" t="n">
        <v>-90</v>
      </c>
      <c r="R1394" t="n">
        <v>0.05664</v>
      </c>
      <c r="S1394">
        <f>IMAGE("https://mitra.stanford.edu/kundaje/oak/projects/neuro-variants/variant_position/credible/roussos_2024/variant_figures/roussos_2024.infant.GLU/rs2267787_count_position.png",4,220,900)</f>
        <v/>
      </c>
      <c r="T1394">
        <f>IMAGE("https://mitra.stanford.edu/kundaje/oak/projects/neuro-variants/variant_position/credible/roussos_2024/variant_figures/roussos_2024.infant.GLU/rs2267787_profile_position.png",4,220,900)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-0.0150577521</v>
      </c>
      <c r="G1395" t="n">
        <v>0.5433399220068995</v>
      </c>
      <c r="H1395" t="n">
        <v>0.0206876877484953</v>
      </c>
      <c r="I1395" t="n">
        <v>0.168975968600286</v>
      </c>
      <c r="J1395" t="n">
        <v>0.0072984413236623</v>
      </c>
      <c r="K1395" t="n">
        <v>0.7152084833949517</v>
      </c>
      <c r="L1395" t="b">
        <v>0</v>
      </c>
      <c r="M1395" t="b">
        <v>0</v>
      </c>
      <c r="N1395" t="inlineStr">
        <is>
          <t>ref</t>
        </is>
      </c>
      <c r="O1395" t="n">
        <v>100</v>
      </c>
      <c r="P1395" t="n">
        <v>0.01403</v>
      </c>
      <c r="Q1395" t="n">
        <v>55</v>
      </c>
      <c r="R1395" t="n">
        <v>0.08636000000000001</v>
      </c>
      <c r="S1395">
        <f>IMAGE("https://mitra.stanford.edu/kundaje/oak/projects/neuro-variants/variant_position/credible/roussos_2024/variant_figures/roussos_2024.infant.GLU/rs7195942_count_position.png",4,220,900)</f>
        <v/>
      </c>
      <c r="T1395">
        <f>IMAGE("https://mitra.stanford.edu/kundaje/oak/projects/neuro-variants/variant_position/credible/roussos_2024/variant_figures/roussos_2024.infant.GLU/rs7195942_profile_position.png",4,220,900)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0.0221515944679999</v>
      </c>
      <c r="G1396" t="n">
        <v>0.4331761644647625</v>
      </c>
      <c r="H1396" t="n">
        <v>0.022531114671277</v>
      </c>
      <c r="I1396" t="n">
        <v>0.1389548150116887</v>
      </c>
      <c r="J1396" t="n">
        <v>0.0025154875548402</v>
      </c>
      <c r="K1396" t="n">
        <v>0.8318930906722735</v>
      </c>
      <c r="L1396" t="b">
        <v>0</v>
      </c>
      <c r="M1396" t="b">
        <v>0</v>
      </c>
      <c r="N1396" t="inlineStr">
        <is>
          <t>alt</t>
        </is>
      </c>
      <c r="O1396" t="n">
        <v>75</v>
      </c>
      <c r="P1396" t="n">
        <v>0.01027</v>
      </c>
      <c r="Q1396" t="n">
        <v>-15</v>
      </c>
      <c r="R1396" t="n">
        <v>0.004456</v>
      </c>
      <c r="S1396">
        <f>IMAGE("https://mitra.stanford.edu/kundaje/oak/projects/neuro-variants/variant_position/credible/roussos_2024/variant_figures/roussos_2024.infant.GLU/rs7195835_count_position.png",4,220,900)</f>
        <v/>
      </c>
      <c r="T1396">
        <f>IMAGE("https://mitra.stanford.edu/kundaje/oak/projects/neuro-variants/variant_position/credible/roussos_2024/variant_figures/roussos_2024.infant.GLU/rs7195835_profile_position.png",4,220,900)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-0.02678272</v>
      </c>
      <c r="G1397" t="n">
        <v>0.3208950746681879</v>
      </c>
      <c r="H1397" t="n">
        <v>0.0118852113071057</v>
      </c>
      <c r="I1397" t="n">
        <v>0.5709290674313028</v>
      </c>
      <c r="J1397" t="n">
        <v>0.0148206530126325</v>
      </c>
      <c r="K1397" t="n">
        <v>0.592611646457383</v>
      </c>
      <c r="L1397" t="b">
        <v>0</v>
      </c>
      <c r="M1397" t="b">
        <v>0</v>
      </c>
      <c r="N1397" t="inlineStr">
        <is>
          <t>ref</t>
        </is>
      </c>
      <c r="O1397" t="n">
        <v>60</v>
      </c>
      <c r="P1397" t="n">
        <v>0.007004</v>
      </c>
      <c r="Q1397" t="n">
        <v>100</v>
      </c>
      <c r="R1397" t="n">
        <v>0.1649</v>
      </c>
      <c r="S1397">
        <f>IMAGE("https://mitra.stanford.edu/kundaje/oak/projects/neuro-variants/variant_position/credible/roussos_2024/variant_figures/roussos_2024.infant.GLU/rs7196962_count_position.png",4,220,900)</f>
        <v/>
      </c>
      <c r="T1397">
        <f>IMAGE("https://mitra.stanford.edu/kundaje/oak/projects/neuro-variants/variant_position/credible/roussos_2024/variant_figures/roussos_2024.infant.GLU/rs7196962_profile_position.png",4,220,900)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-0.219586545</v>
      </c>
      <c r="G1398" t="n">
        <v>0.0084966243799658</v>
      </c>
      <c r="H1398" t="n">
        <v>0.0559830918420387</v>
      </c>
      <c r="I1398" t="n">
        <v>0.0046095737706708</v>
      </c>
      <c r="J1398" t="n">
        <v>0.0168996230075618</v>
      </c>
      <c r="K1398" t="n">
        <v>0.5692100039314298</v>
      </c>
      <c r="L1398" t="b">
        <v>1</v>
      </c>
      <c r="M1398" t="b">
        <v>1</v>
      </c>
      <c r="N1398" t="inlineStr">
        <is>
          <t>ref</t>
        </is>
      </c>
      <c r="O1398" t="n">
        <v>100</v>
      </c>
      <c r="P1398" t="n">
        <v>0.003536</v>
      </c>
      <c r="Q1398" t="n">
        <v>85</v>
      </c>
      <c r="R1398" t="n">
        <v>0.0941</v>
      </c>
      <c r="S1398">
        <f>IMAGE("https://mitra.stanford.edu/kundaje/oak/projects/neuro-variants/variant_position/credible/roussos_2024/variant_figures/roussos_2024.infant.GLU/rs7197004_count_position.png",4,220,900)</f>
        <v/>
      </c>
      <c r="T1398">
        <f>IMAGE("https://mitra.stanford.edu/kundaje/oak/projects/neuro-variants/variant_position/credible/roussos_2024/variant_figures/roussos_2024.infant.GLU/rs7197004_profile_position.png",4,220,900)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-0.0006910045599999</v>
      </c>
      <c r="G1399" t="n">
        <v>0.6668096438994311</v>
      </c>
      <c r="H1399" t="n">
        <v>0.0238876458528499</v>
      </c>
      <c r="I1399" t="n">
        <v>0.115732746348241</v>
      </c>
      <c r="J1399" t="n">
        <v>0.0250446438413544</v>
      </c>
      <c r="K1399" t="n">
        <v>0.4957202943583976</v>
      </c>
      <c r="L1399" t="b">
        <v>0</v>
      </c>
      <c r="M1399" t="b">
        <v>0</v>
      </c>
      <c r="N1399" t="inlineStr">
        <is>
          <t>ref</t>
        </is>
      </c>
      <c r="O1399" t="n">
        <v>25</v>
      </c>
      <c r="P1399" t="n">
        <v>0.02272</v>
      </c>
      <c r="Q1399" t="n">
        <v>-95</v>
      </c>
      <c r="R1399" t="n">
        <v>0.1299</v>
      </c>
      <c r="S1399">
        <f>IMAGE("https://mitra.stanford.edu/kundaje/oak/projects/neuro-variants/variant_position/credible/roussos_2024/variant_figures/roussos_2024.infant.GLU/rs9972744_count_position.png",4,220,900)</f>
        <v/>
      </c>
      <c r="T1399">
        <f>IMAGE("https://mitra.stanford.edu/kundaje/oak/projects/neuro-variants/variant_position/credible/roussos_2024/variant_figures/roussos_2024.infant.GLU/rs9972744_profile_position.png",4,220,900)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0.0005855299399999</v>
      </c>
      <c r="G1400" t="n">
        <v>0.9242342347443596</v>
      </c>
      <c r="H1400" t="n">
        <v>0.0363173707530985</v>
      </c>
      <c r="I1400" t="n">
        <v>0.0297332816955741</v>
      </c>
      <c r="J1400" t="n">
        <v>0.1694437708062346</v>
      </c>
      <c r="K1400" t="n">
        <v>0.1284979140745356</v>
      </c>
      <c r="L1400" t="b">
        <v>0</v>
      </c>
      <c r="M1400" t="b">
        <v>0</v>
      </c>
      <c r="N1400" t="inlineStr">
        <is>
          <t>alt</t>
        </is>
      </c>
      <c r="O1400" t="n">
        <v>-55</v>
      </c>
      <c r="P1400" t="n">
        <v>0.01318</v>
      </c>
      <c r="Q1400" t="n">
        <v>-100</v>
      </c>
      <c r="R1400" t="n">
        <v>0.0664</v>
      </c>
      <c r="S1400">
        <f>IMAGE("https://mitra.stanford.edu/kundaje/oak/projects/neuro-variants/variant_position/credible/roussos_2024/variant_figures/roussos_2024.infant.GLU/rs11648283_count_position.png",4,220,900)</f>
        <v/>
      </c>
      <c r="T1400">
        <f>IMAGE("https://mitra.stanford.edu/kundaje/oak/projects/neuro-variants/variant_position/credible/roussos_2024/variant_figures/roussos_2024.infant.GLU/rs11648283_profile_position.png",4,220,900)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0.0102187216999999</v>
      </c>
      <c r="G1401" t="n">
        <v>0.6226837715741774</v>
      </c>
      <c r="H1401" t="n">
        <v>0.0131901161766933</v>
      </c>
      <c r="I1401" t="n">
        <v>0.4705505130902108</v>
      </c>
      <c r="J1401" t="n">
        <v>0.0026367424325932</v>
      </c>
      <c r="K1401" t="n">
        <v>0.8366884585616121</v>
      </c>
      <c r="L1401" t="b">
        <v>0</v>
      </c>
      <c r="M1401" t="b">
        <v>0</v>
      </c>
      <c r="N1401" t="inlineStr">
        <is>
          <t>alt</t>
        </is>
      </c>
      <c r="O1401" t="n">
        <v>5</v>
      </c>
      <c r="P1401" t="n">
        <v>0.0007935</v>
      </c>
      <c r="Q1401" t="n">
        <v>5</v>
      </c>
      <c r="R1401" t="n">
        <v>0.005215</v>
      </c>
      <c r="S1401">
        <f>IMAGE("https://mitra.stanford.edu/kundaje/oak/projects/neuro-variants/variant_position/credible/roussos_2024/variant_figures/roussos_2024.infant.GLU/rs9930307_count_position.png",4,220,900)</f>
        <v/>
      </c>
      <c r="T1401">
        <f>IMAGE("https://mitra.stanford.edu/kundaje/oak/projects/neuro-variants/variant_position/credible/roussos_2024/variant_figures/roussos_2024.infant.GLU/rs9930307_profile_position.png",4,220,900)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0.030757851</v>
      </c>
      <c r="G1402" t="n">
        <v>0.3043266879903142</v>
      </c>
      <c r="H1402" t="n">
        <v>0.0136780371954986</v>
      </c>
      <c r="I1402" t="n">
        <v>0.4386635907455617</v>
      </c>
      <c r="J1402" t="n">
        <v>0.0045404440133159</v>
      </c>
      <c r="K1402" t="n">
        <v>0.7839129205151322</v>
      </c>
      <c r="L1402" t="b">
        <v>0</v>
      </c>
      <c r="M1402" t="b">
        <v>0</v>
      </c>
      <c r="N1402" t="inlineStr">
        <is>
          <t>alt</t>
        </is>
      </c>
      <c r="O1402" t="n">
        <v>-80</v>
      </c>
      <c r="P1402" t="n">
        <v>0.01123</v>
      </c>
      <c r="Q1402" t="n">
        <v>85</v>
      </c>
      <c r="R1402" t="n">
        <v>0.0605</v>
      </c>
      <c r="S1402">
        <f>IMAGE("https://mitra.stanford.edu/kundaje/oak/projects/neuro-variants/variant_position/credible/roussos_2024/variant_figures/roussos_2024.infant.GLU/rs9940856_count_position.png",4,220,900)</f>
        <v/>
      </c>
      <c r="T1402">
        <f>IMAGE("https://mitra.stanford.edu/kundaje/oak/projects/neuro-variants/variant_position/credible/roussos_2024/variant_figures/roussos_2024.infant.GLU/rs9940856_profile_position.png",4,220,900)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-0.039292941</v>
      </c>
      <c r="G1403" t="n">
        <v>0.233768175032604</v>
      </c>
      <c r="H1403" t="n">
        <v>0.0413761181618993</v>
      </c>
      <c r="I1403" t="n">
        <v>0.01766760331007</v>
      </c>
      <c r="J1403" t="n">
        <v>0.0138825811856522</v>
      </c>
      <c r="K1403" t="n">
        <v>0.6047093778335519</v>
      </c>
      <c r="L1403" t="b">
        <v>1</v>
      </c>
      <c r="M1403" t="b">
        <v>0</v>
      </c>
      <c r="N1403" t="inlineStr">
        <is>
          <t>ref</t>
        </is>
      </c>
      <c r="O1403" t="n">
        <v>-100</v>
      </c>
      <c r="P1403" t="n">
        <v>0.012024</v>
      </c>
      <c r="Q1403" t="n">
        <v>-95</v>
      </c>
      <c r="R1403" t="n">
        <v>0.0415</v>
      </c>
      <c r="S1403">
        <f>IMAGE("https://mitra.stanford.edu/kundaje/oak/projects/neuro-variants/variant_position/credible/roussos_2024/variant_figures/roussos_2024.infant.GLU/rs7184107_count_position.png",4,220,900)</f>
        <v/>
      </c>
      <c r="T1403">
        <f>IMAGE("https://mitra.stanford.edu/kundaje/oak/projects/neuro-variants/variant_position/credible/roussos_2024/variant_figures/roussos_2024.infant.GLU/rs7184107_profile_position.png",4,220,900)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-0.1778021527999999</v>
      </c>
      <c r="G1404" t="n">
        <v>0.0163022773041844</v>
      </c>
      <c r="H1404" t="n">
        <v>0.0250683079345456</v>
      </c>
      <c r="I1404" t="n">
        <v>0.1021331381828154</v>
      </c>
      <c r="J1404" t="n">
        <v>0.0621398178972199</v>
      </c>
      <c r="K1404" t="n">
        <v>0.3002004954401427</v>
      </c>
      <c r="L1404" t="b">
        <v>1</v>
      </c>
      <c r="M1404" t="b">
        <v>0</v>
      </c>
      <c r="N1404" t="inlineStr">
        <is>
          <t>ref</t>
        </is>
      </c>
      <c r="O1404" t="n">
        <v>-100</v>
      </c>
      <c r="P1404" t="n">
        <v>0.0598</v>
      </c>
      <c r="Q1404" t="n">
        <v>0</v>
      </c>
      <c r="R1404" t="n">
        <v>0</v>
      </c>
      <c r="S1404">
        <f>IMAGE("https://mitra.stanford.edu/kundaje/oak/projects/neuro-variants/variant_position/credible/roussos_2024/variant_figures/roussos_2024.infant.GLU/rs10468229_count_position.png",4,220,900)</f>
        <v/>
      </c>
      <c r="T1404">
        <f>IMAGE("https://mitra.stanford.edu/kundaje/oak/projects/neuro-variants/variant_position/credible/roussos_2024/variant_figures/roussos_2024.infant.GLU/rs10468229_profile_position.png",4,220,900)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0.0407608572</v>
      </c>
      <c r="G1405" t="n">
        <v>0.217572675115667</v>
      </c>
      <c r="H1405" t="n">
        <v>0.0107088473974019</v>
      </c>
      <c r="I1405" t="n">
        <v>0.6765300265715555</v>
      </c>
      <c r="J1405" t="n">
        <v>0.009115059855816799</v>
      </c>
      <c r="K1405" t="n">
        <v>0.6736272886432315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0.007202</v>
      </c>
      <c r="Q1405" t="n">
        <v>90</v>
      </c>
      <c r="R1405" t="n">
        <v>0.083</v>
      </c>
      <c r="S1405">
        <f>IMAGE("https://mitra.stanford.edu/kundaje/oak/projects/neuro-variants/variant_position/credible/roussos_2024/variant_figures/roussos_2024.infant.GLU/rs11649466_count_position.png",4,220,900)</f>
        <v/>
      </c>
      <c r="T1405">
        <f>IMAGE("https://mitra.stanford.edu/kundaje/oak/projects/neuro-variants/variant_position/credible/roussos_2024/variant_figures/roussos_2024.infant.GLU/rs11649466_profile_position.png",4,220,900)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0.00344603474</v>
      </c>
      <c r="G1406" t="n">
        <v>0.7397973904811247</v>
      </c>
      <c r="H1406" t="n">
        <v>0.009967963937350201</v>
      </c>
      <c r="I1406" t="n">
        <v>0.7419659136442865</v>
      </c>
      <c r="J1406" t="n">
        <v>0.1495171851231287</v>
      </c>
      <c r="K1406" t="n">
        <v>0.14998700604554</v>
      </c>
      <c r="L1406" t="b">
        <v>0</v>
      </c>
      <c r="M1406" t="b">
        <v>0</v>
      </c>
      <c r="N1406" t="inlineStr">
        <is>
          <t>alt</t>
        </is>
      </c>
      <c r="O1406" t="n">
        <v>-95</v>
      </c>
      <c r="P1406" t="n">
        <v>0.02661</v>
      </c>
      <c r="Q1406" t="n">
        <v>5</v>
      </c>
      <c r="R1406" t="n">
        <v>0.0076</v>
      </c>
      <c r="S1406">
        <f>IMAGE("https://mitra.stanford.edu/kundaje/oak/projects/neuro-variants/variant_position/credible/roussos_2024/variant_figures/roussos_2024.infant.GLU/rs11645219_count_position.png",4,220,900)</f>
        <v/>
      </c>
      <c r="T1406">
        <f>IMAGE("https://mitra.stanford.edu/kundaje/oak/projects/neuro-variants/variant_position/credible/roussos_2024/variant_figures/roussos_2024.infant.GLU/rs11645219_profile_position.png",4,220,900)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-0.004309442228</v>
      </c>
      <c r="G1407" t="n">
        <v>0.8133069646349933</v>
      </c>
      <c r="H1407" t="n">
        <v>0.0466823589087379</v>
      </c>
      <c r="I1407" t="n">
        <v>0.0104142638877011</v>
      </c>
      <c r="J1407" t="n">
        <v>0.5406920346568487</v>
      </c>
      <c r="K1407" t="n">
        <v>0.0267974976083527</v>
      </c>
      <c r="L1407" t="b">
        <v>1</v>
      </c>
      <c r="M1407" t="b">
        <v>0</v>
      </c>
      <c r="N1407" t="inlineStr">
        <is>
          <t>ref</t>
        </is>
      </c>
      <c r="O1407" t="n">
        <v>-100</v>
      </c>
      <c r="P1407" t="n">
        <v>0.3818</v>
      </c>
      <c r="Q1407" t="n">
        <v>-95</v>
      </c>
      <c r="R1407" t="n">
        <v>0.3052</v>
      </c>
      <c r="S1407">
        <f>IMAGE("https://mitra.stanford.edu/kundaje/oak/projects/neuro-variants/variant_position/credible/roussos_2024/variant_figures/roussos_2024.infant.GLU/rs1420042_count_position.png",4,220,900)</f>
        <v/>
      </c>
      <c r="T1407">
        <f>IMAGE("https://mitra.stanford.edu/kundaje/oak/projects/neuro-variants/variant_position/credible/roussos_2024/variant_figures/roussos_2024.infant.GLU/rs1420042_profile_position.png",4,220,900)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0.0396549302</v>
      </c>
      <c r="G1408" t="n">
        <v>0.1844772990714291</v>
      </c>
      <c r="H1408" t="n">
        <v>0.0120237918821343</v>
      </c>
      <c r="I1408" t="n">
        <v>0.5409625122356533</v>
      </c>
      <c r="J1408" t="n">
        <v>0.542123944531405</v>
      </c>
      <c r="K1408" t="n">
        <v>0.026677519103546</v>
      </c>
      <c r="L1408" t="b">
        <v>0</v>
      </c>
      <c r="M1408" t="b">
        <v>0</v>
      </c>
      <c r="N1408" t="inlineStr">
        <is>
          <t>alt</t>
        </is>
      </c>
      <c r="O1408" t="n">
        <v>-95</v>
      </c>
      <c r="P1408" t="n">
        <v>0.01688</v>
      </c>
      <c r="Q1408" t="n">
        <v>95</v>
      </c>
      <c r="R1408" t="n">
        <v>0.1168</v>
      </c>
      <c r="S1408">
        <f>IMAGE("https://mitra.stanford.edu/kundaje/oak/projects/neuro-variants/variant_position/credible/roussos_2024/variant_figures/roussos_2024.infant.GLU/rs7196708_count_position.png",4,220,900)</f>
        <v/>
      </c>
      <c r="T1408">
        <f>IMAGE("https://mitra.stanford.edu/kundaje/oak/projects/neuro-variants/variant_position/credible/roussos_2024/variant_figures/roussos_2024.infant.GLU/rs7196708_profile_position.png",4,220,900)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0.0437671804</v>
      </c>
      <c r="G1409" t="n">
        <v>0.1968785957495691</v>
      </c>
      <c r="H1409" t="n">
        <v>0.009011021977390499</v>
      </c>
      <c r="I1409" t="n">
        <v>0.8237222952155397</v>
      </c>
      <c r="J1409" t="n">
        <v>0.2412156352653277</v>
      </c>
      <c r="K1409" t="n">
        <v>0.08911963948176641</v>
      </c>
      <c r="L1409" t="b">
        <v>0</v>
      </c>
      <c r="M1409" t="b">
        <v>0</v>
      </c>
      <c r="N1409" t="inlineStr">
        <is>
          <t>alt</t>
        </is>
      </c>
      <c r="O1409" t="n">
        <v>30</v>
      </c>
      <c r="P1409" t="n">
        <v>0.008699999999999999</v>
      </c>
      <c r="Q1409" t="n">
        <v>-90</v>
      </c>
      <c r="R1409" t="n">
        <v>0.2379</v>
      </c>
      <c r="S1409">
        <f>IMAGE("https://mitra.stanford.edu/kundaje/oak/projects/neuro-variants/variant_position/credible/roussos_2024/variant_figures/roussos_2024.infant.GLU/rs6497523_count_position.png",4,220,900)</f>
        <v/>
      </c>
      <c r="T1409">
        <f>IMAGE("https://mitra.stanford.edu/kundaje/oak/projects/neuro-variants/variant_position/credible/roussos_2024/variant_figures/roussos_2024.infant.GLU/rs6497523_profile_position.png",4,220,900)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0.135465958</v>
      </c>
      <c r="G1410" t="n">
        <v>0.0290396613303628</v>
      </c>
      <c r="H1410" t="n">
        <v>0.0449445517937371</v>
      </c>
      <c r="I1410" t="n">
        <v>0.0124084231198861</v>
      </c>
      <c r="J1410" t="n">
        <v>0.0255726537181154</v>
      </c>
      <c r="K1410" t="n">
        <v>0.5075499659941696</v>
      </c>
      <c r="L1410" t="b">
        <v>1</v>
      </c>
      <c r="M1410" t="b">
        <v>0</v>
      </c>
      <c r="N1410" t="inlineStr">
        <is>
          <t>alt</t>
        </is>
      </c>
      <c r="O1410" t="n">
        <v>25</v>
      </c>
      <c r="P1410" t="n">
        <v>0.00641</v>
      </c>
      <c r="Q1410" t="n">
        <v>90</v>
      </c>
      <c r="R1410" t="n">
        <v>0.0379</v>
      </c>
      <c r="S1410">
        <f>IMAGE("https://mitra.stanford.edu/kundaje/oak/projects/neuro-variants/variant_position/credible/roussos_2024/variant_figures/roussos_2024.infant.GLU/rs35440248_count_position.png",4,220,900)</f>
        <v/>
      </c>
      <c r="T1410">
        <f>IMAGE("https://mitra.stanford.edu/kundaje/oak/projects/neuro-variants/variant_position/credible/roussos_2024/variant_figures/roussos_2024.infant.GLU/rs35440248_profile_position.png",4,220,900)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0.0168154934</v>
      </c>
      <c r="G1411" t="n">
        <v>0.4838390589682449</v>
      </c>
      <c r="H1411" t="n">
        <v>0.0425316510412916</v>
      </c>
      <c r="I1411" t="n">
        <v>0.0157369065563546</v>
      </c>
      <c r="J1411" t="n">
        <v>0.0331069908948609</v>
      </c>
      <c r="K1411" t="n">
        <v>0.4664496452050678</v>
      </c>
      <c r="L1411" t="b">
        <v>1</v>
      </c>
      <c r="M1411" t="b">
        <v>0</v>
      </c>
      <c r="N1411" t="inlineStr">
        <is>
          <t>alt</t>
        </is>
      </c>
      <c r="O1411" t="n">
        <v>65</v>
      </c>
      <c r="P1411" t="n">
        <v>0.01685</v>
      </c>
      <c r="Q1411" t="n">
        <v>-25</v>
      </c>
      <c r="R1411" t="n">
        <v>0.00708</v>
      </c>
      <c r="S1411">
        <f>IMAGE("https://mitra.stanford.edu/kundaje/oak/projects/neuro-variants/variant_position/credible/roussos_2024/variant_figures/roussos_2024.infant.GLU/rs8047364_count_position.png",4,220,900)</f>
        <v/>
      </c>
      <c r="T1411">
        <f>IMAGE("https://mitra.stanford.edu/kundaje/oak/projects/neuro-variants/variant_position/credible/roussos_2024/variant_figures/roussos_2024.infant.GLU/rs8047364_profile_position.png",4,220,900)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-0.0597409843999999</v>
      </c>
      <c r="G1412" t="n">
        <v>0.1318567243452131</v>
      </c>
      <c r="H1412" t="n">
        <v>0.0115005919320426</v>
      </c>
      <c r="I1412" t="n">
        <v>0.5993349734592585</v>
      </c>
      <c r="J1412" t="n">
        <v>0.2104929561939195</v>
      </c>
      <c r="K1412" t="n">
        <v>0.1072705820848755</v>
      </c>
      <c r="L1412" t="b">
        <v>0</v>
      </c>
      <c r="M1412" t="b">
        <v>0</v>
      </c>
      <c r="N1412" t="inlineStr">
        <is>
          <t>ref</t>
        </is>
      </c>
      <c r="O1412" t="n">
        <v>20</v>
      </c>
      <c r="P1412" t="n">
        <v>0.008224</v>
      </c>
      <c r="Q1412" t="n">
        <v>55</v>
      </c>
      <c r="R1412" t="n">
        <v>0.08154</v>
      </c>
      <c r="S1412">
        <f>IMAGE("https://mitra.stanford.edu/kundaje/oak/projects/neuro-variants/variant_position/credible/roussos_2024/variant_figures/roussos_2024.infant.GLU/rs9933832_count_position.png",4,220,900)</f>
        <v/>
      </c>
      <c r="T1412">
        <f>IMAGE("https://mitra.stanford.edu/kundaje/oak/projects/neuro-variants/variant_position/credible/roussos_2024/variant_figures/roussos_2024.infant.GLU/rs9933832_profile_position.png",4,220,900)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-0.0558163584</v>
      </c>
      <c r="G1413" t="n">
        <v>0.1410486706650424</v>
      </c>
      <c r="H1413" t="n">
        <v>0.0110462758034588</v>
      </c>
      <c r="I1413" t="n">
        <v>0.6363895385195576</v>
      </c>
      <c r="J1413" t="n">
        <v>0.06938755263564</v>
      </c>
      <c r="K1413" t="n">
        <v>0.2760522537289531</v>
      </c>
      <c r="L1413" t="b">
        <v>0</v>
      </c>
      <c r="M1413" t="b">
        <v>0</v>
      </c>
      <c r="N1413" t="inlineStr">
        <is>
          <t>ref</t>
        </is>
      </c>
      <c r="O1413" t="n">
        <v>0</v>
      </c>
      <c r="P1413" t="n">
        <v>0</v>
      </c>
      <c r="Q1413" t="n">
        <v>100</v>
      </c>
      <c r="R1413" t="n">
        <v>0.1372</v>
      </c>
      <c r="S1413">
        <f>IMAGE("https://mitra.stanford.edu/kundaje/oak/projects/neuro-variants/variant_position/credible/roussos_2024/variant_figures/roussos_2024.infant.GLU/rs727605_count_position.png",4,220,900)</f>
        <v/>
      </c>
      <c r="T1413">
        <f>IMAGE("https://mitra.stanford.edu/kundaje/oak/projects/neuro-variants/variant_position/credible/roussos_2024/variant_figures/roussos_2024.infant.GLU/rs727605_profile_position.png",4,220,900)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-0.0298379864</v>
      </c>
      <c r="G1414" t="n">
        <v>0.3228894675655065</v>
      </c>
      <c r="H1414" t="n">
        <v>0.0319748434157168</v>
      </c>
      <c r="I1414" t="n">
        <v>0.0472658179993742</v>
      </c>
      <c r="J1414" t="n">
        <v>0.0196245508057937</v>
      </c>
      <c r="K1414" t="n">
        <v>0.5451938204009169</v>
      </c>
      <c r="L1414" t="b">
        <v>0</v>
      </c>
      <c r="M1414" t="b">
        <v>0</v>
      </c>
      <c r="N1414" t="inlineStr">
        <is>
          <t>ref</t>
        </is>
      </c>
      <c r="O1414" t="n">
        <v>85</v>
      </c>
      <c r="P1414" t="n">
        <v>0.01227</v>
      </c>
      <c r="Q1414" t="n">
        <v>75</v>
      </c>
      <c r="R1414" t="n">
        <v>0.05237</v>
      </c>
      <c r="S1414">
        <f>IMAGE("https://mitra.stanford.edu/kundaje/oak/projects/neuro-variants/variant_position/credible/roussos_2024/variant_figures/roussos_2024.infant.GLU/rs9939815_count_position.png",4,220,900)</f>
        <v/>
      </c>
      <c r="T1414">
        <f>IMAGE("https://mitra.stanford.edu/kundaje/oak/projects/neuro-variants/variant_position/credible/roussos_2024/variant_figures/roussos_2024.infant.GLU/rs9939815_profile_position.png",4,220,900)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-0.0391907116</v>
      </c>
      <c r="G1415" t="n">
        <v>0.2397598842689431</v>
      </c>
      <c r="H1415" t="n">
        <v>0.0401613110455831</v>
      </c>
      <c r="I1415" t="n">
        <v>0.0200977511109643</v>
      </c>
      <c r="J1415" t="n">
        <v>0.0195099098304635</v>
      </c>
      <c r="K1415" t="n">
        <v>0.5464713853086671</v>
      </c>
      <c r="L1415" t="b">
        <v>0</v>
      </c>
      <c r="M1415" t="b">
        <v>0</v>
      </c>
      <c r="N1415" t="inlineStr">
        <is>
          <t>ref</t>
        </is>
      </c>
      <c r="O1415" t="n">
        <v>60</v>
      </c>
      <c r="P1415" t="n">
        <v>0.012505</v>
      </c>
      <c r="Q1415" t="n">
        <v>60</v>
      </c>
      <c r="R1415" t="n">
        <v>0.06270000000000001</v>
      </c>
      <c r="S1415">
        <f>IMAGE("https://mitra.stanford.edu/kundaje/oak/projects/neuro-variants/variant_position/credible/roussos_2024/variant_figures/roussos_2024.infant.GLU/rs9939817_count_position.png",4,220,900)</f>
        <v/>
      </c>
      <c r="T1415">
        <f>IMAGE("https://mitra.stanford.edu/kundaje/oak/projects/neuro-variants/variant_position/credible/roussos_2024/variant_figures/roussos_2024.infant.GLU/rs9939817_profile_position.png",4,220,900)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0.000595846766</v>
      </c>
      <c r="G1416" t="n">
        <v>0.8127585252112914</v>
      </c>
      <c r="H1416" t="n">
        <v>0.0157816912191229</v>
      </c>
      <c r="I1416" t="n">
        <v>0.3224809186530312</v>
      </c>
      <c r="J1416" t="n">
        <v>0.0179964284926915</v>
      </c>
      <c r="K1416" t="n">
        <v>0.5626287136940085</v>
      </c>
      <c r="L1416" t="b">
        <v>0</v>
      </c>
      <c r="M1416" t="b">
        <v>0</v>
      </c>
      <c r="N1416" t="inlineStr">
        <is>
          <t>alt</t>
        </is>
      </c>
      <c r="O1416" t="n">
        <v>55</v>
      </c>
      <c r="P1416" t="n">
        <v>0.002098</v>
      </c>
      <c r="Q1416" t="n">
        <v>45</v>
      </c>
      <c r="R1416" t="n">
        <v>0.03015</v>
      </c>
      <c r="S1416">
        <f>IMAGE("https://mitra.stanford.edu/kundaje/oak/projects/neuro-variants/variant_position/credible/roussos_2024/variant_figures/roussos_2024.infant.GLU/rs7196023_count_position.png",4,220,900)</f>
        <v/>
      </c>
      <c r="T1416">
        <f>IMAGE("https://mitra.stanford.edu/kundaje/oak/projects/neuro-variants/variant_position/credible/roussos_2024/variant_figures/roussos_2024.infant.GLU/rs7196023_profile_position.png",4,220,900)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0.16881711</v>
      </c>
      <c r="G1417" t="n">
        <v>0.0162046467988127</v>
      </c>
      <c r="H1417" t="n">
        <v>0.023532644009617</v>
      </c>
      <c r="I1417" t="n">
        <v>0.1203629940540223</v>
      </c>
      <c r="J1417" t="n">
        <v>0.1278324037126038</v>
      </c>
      <c r="K1417" t="n">
        <v>0.1729324117126605</v>
      </c>
      <c r="L1417" t="b">
        <v>1</v>
      </c>
      <c r="M1417" t="b">
        <v>0</v>
      </c>
      <c r="N1417" t="inlineStr">
        <is>
          <t>alt</t>
        </is>
      </c>
      <c r="O1417" t="n">
        <v>-95</v>
      </c>
      <c r="P1417" t="n">
        <v>0.00679</v>
      </c>
      <c r="Q1417" t="n">
        <v>40</v>
      </c>
      <c r="R1417" t="n">
        <v>0.1214</v>
      </c>
      <c r="S1417">
        <f>IMAGE("https://mitra.stanford.edu/kundaje/oak/projects/neuro-variants/variant_position/credible/roussos_2024/variant_figures/roussos_2024.infant.GLU/rs16966529_count_position.png",4,220,900)</f>
        <v/>
      </c>
      <c r="T1417">
        <f>IMAGE("https://mitra.stanford.edu/kundaje/oak/projects/neuro-variants/variant_position/credible/roussos_2024/variant_figures/roussos_2024.infant.GLU/rs16966529_profile_position.png",4,220,900)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0.0943301798</v>
      </c>
      <c r="G1418" t="n">
        <v>0.0555581981206036</v>
      </c>
      <c r="H1418" t="n">
        <v>0.0138247900788656</v>
      </c>
      <c r="I1418" t="n">
        <v>0.4254836186762336</v>
      </c>
      <c r="J1418" t="n">
        <v>0.0197733636103088</v>
      </c>
      <c r="K1418" t="n">
        <v>0.5468521635525401</v>
      </c>
      <c r="L1418" t="b">
        <v>0</v>
      </c>
      <c r="M1418" t="b">
        <v>0</v>
      </c>
      <c r="N1418" t="inlineStr">
        <is>
          <t>alt</t>
        </is>
      </c>
      <c r="O1418" t="n">
        <v>100</v>
      </c>
      <c r="P1418" t="n">
        <v>0.01709</v>
      </c>
      <c r="Q1418" t="n">
        <v>85</v>
      </c>
      <c r="R1418" t="n">
        <v>0.08434999999999999</v>
      </c>
      <c r="S1418">
        <f>IMAGE("https://mitra.stanford.edu/kundaje/oak/projects/neuro-variants/variant_position/credible/roussos_2024/variant_figures/roussos_2024.infant.GLU/rs76655943_count_position.png",4,220,900)</f>
        <v/>
      </c>
      <c r="T1418">
        <f>IMAGE("https://mitra.stanford.edu/kundaje/oak/projects/neuro-variants/variant_position/credible/roussos_2024/variant_figures/roussos_2024.infant.GLU/rs76655943_profile_position.png",4,220,900)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-0.00126687138</v>
      </c>
      <c r="G1419" t="n">
        <v>0.8404004523533237</v>
      </c>
      <c r="H1419" t="n">
        <v>0.0460529454175124</v>
      </c>
      <c r="I1419" t="n">
        <v>0.0111352927530895</v>
      </c>
      <c r="J1419" t="n">
        <v>0.2172259088604246</v>
      </c>
      <c r="K1419" t="n">
        <v>0.1013540410874653</v>
      </c>
      <c r="L1419" t="b">
        <v>1</v>
      </c>
      <c r="M1419" t="b">
        <v>0</v>
      </c>
      <c r="N1419" t="inlineStr">
        <is>
          <t>ref</t>
        </is>
      </c>
      <c r="O1419" t="n">
        <v>10</v>
      </c>
      <c r="P1419" t="n">
        <v>0.002197</v>
      </c>
      <c r="Q1419" t="n">
        <v>-45</v>
      </c>
      <c r="R1419" t="n">
        <v>0.07556</v>
      </c>
      <c r="S1419">
        <f>IMAGE("https://mitra.stanford.edu/kundaje/oak/projects/neuro-variants/variant_position/credible/roussos_2024/variant_figures/roussos_2024.infant.GLU/rs28610230_count_position.png",4,220,900)</f>
        <v/>
      </c>
      <c r="T1419">
        <f>IMAGE("https://mitra.stanford.edu/kundaje/oak/projects/neuro-variants/variant_position/credible/roussos_2024/variant_figures/roussos_2024.infant.GLU/rs28610230_profile_position.png",4,220,900)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0.0547703244</v>
      </c>
      <c r="G1420" t="n">
        <v>0.1431564677698661</v>
      </c>
      <c r="H1420" t="n">
        <v>0.0214129716900489</v>
      </c>
      <c r="I1420" t="n">
        <v>0.1566708084492542</v>
      </c>
      <c r="J1420" t="n">
        <v>0.0646508961837782</v>
      </c>
      <c r="K1420" t="n">
        <v>0.2903229593643136</v>
      </c>
      <c r="L1420" t="b">
        <v>0</v>
      </c>
      <c r="M1420" t="b">
        <v>0</v>
      </c>
      <c r="N1420" t="inlineStr">
        <is>
          <t>alt</t>
        </is>
      </c>
      <c r="O1420" t="n">
        <v>-50</v>
      </c>
      <c r="P1420" t="n">
        <v>0.003998</v>
      </c>
      <c r="Q1420" t="n">
        <v>-20</v>
      </c>
      <c r="R1420" t="n">
        <v>0.02057</v>
      </c>
      <c r="S1420">
        <f>IMAGE("https://mitra.stanford.edu/kundaje/oak/projects/neuro-variants/variant_position/credible/roussos_2024/variant_figures/roussos_2024.infant.GLU/rs55761603_count_position.png",4,220,900)</f>
        <v/>
      </c>
      <c r="T1420">
        <f>IMAGE("https://mitra.stanford.edu/kundaje/oak/projects/neuro-variants/variant_position/credible/roussos_2024/variant_figures/roussos_2024.infant.GLU/rs55761603_profile_position.png",4,220,900)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0.1630818632</v>
      </c>
      <c r="G1421" t="n">
        <v>0.0172890699133814</v>
      </c>
      <c r="H1421" t="n">
        <v>0.0202174254089156</v>
      </c>
      <c r="I1421" t="n">
        <v>0.1806555147257459</v>
      </c>
      <c r="J1421" t="n">
        <v>0.118923477148967</v>
      </c>
      <c r="K1421" t="n">
        <v>0.1853138944124996</v>
      </c>
      <c r="L1421" t="b">
        <v>1</v>
      </c>
      <c r="M1421" t="b">
        <v>0</v>
      </c>
      <c r="N1421" t="inlineStr">
        <is>
          <t>alt</t>
        </is>
      </c>
      <c r="O1421" t="n">
        <v>-10</v>
      </c>
      <c r="P1421" t="n">
        <v>0.00246</v>
      </c>
      <c r="Q1421" t="n">
        <v>100</v>
      </c>
      <c r="R1421" t="n">
        <v>0.1636</v>
      </c>
      <c r="S1421">
        <f>IMAGE("https://mitra.stanford.edu/kundaje/oak/projects/neuro-variants/variant_position/credible/roussos_2024/variant_figures/roussos_2024.infant.GLU/rs9926924_count_position.png",4,220,900)</f>
        <v/>
      </c>
      <c r="T1421">
        <f>IMAGE("https://mitra.stanford.edu/kundaje/oak/projects/neuro-variants/variant_position/credible/roussos_2024/variant_figures/roussos_2024.infant.GLU/rs9926924_profile_position.png",4,220,900)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-0.0349502532</v>
      </c>
      <c r="G1422" t="n">
        <v>0.2974868977189956</v>
      </c>
      <c r="H1422" t="n">
        <v>0.0206454993297864</v>
      </c>
      <c r="I1422" t="n">
        <v>0.1715965463093526</v>
      </c>
      <c r="J1422" t="n">
        <v>0.0921779580678585</v>
      </c>
      <c r="K1422" t="n">
        <v>0.2263763480676939</v>
      </c>
      <c r="L1422" t="b">
        <v>0</v>
      </c>
      <c r="M1422" t="b">
        <v>0</v>
      </c>
      <c r="N1422" t="inlineStr">
        <is>
          <t>ref</t>
        </is>
      </c>
      <c r="O1422" t="n">
        <v>100</v>
      </c>
      <c r="P1422" t="n">
        <v>0.003159</v>
      </c>
      <c r="Q1422" t="n">
        <v>75</v>
      </c>
      <c r="R1422" t="n">
        <v>0.04315</v>
      </c>
      <c r="S1422">
        <f>IMAGE("https://mitra.stanford.edu/kundaje/oak/projects/neuro-variants/variant_position/credible/roussos_2024/variant_figures/roussos_2024.infant.GLU/rs2283541_count_position.png",4,220,900)</f>
        <v/>
      </c>
      <c r="T1422">
        <f>IMAGE("https://mitra.stanford.edu/kundaje/oak/projects/neuro-variants/variant_position/credible/roussos_2024/variant_figures/roussos_2024.infant.GLU/rs2283541_profile_position.png",4,220,900)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-0.0291982314</v>
      </c>
      <c r="G1423" t="n">
        <v>0.3292084041528034</v>
      </c>
      <c r="H1423" t="n">
        <v>0.0592790258343977</v>
      </c>
      <c r="I1423" t="n">
        <v>0.003325237674628</v>
      </c>
      <c r="J1423" t="n">
        <v>0.0046837452324786</v>
      </c>
      <c r="K1423" t="n">
        <v>0.7563045926768321</v>
      </c>
      <c r="L1423" t="b">
        <v>0</v>
      </c>
      <c r="M1423" t="b">
        <v>0</v>
      </c>
      <c r="N1423" t="inlineStr">
        <is>
          <t>ref</t>
        </is>
      </c>
      <c r="O1423" t="n">
        <v>60</v>
      </c>
      <c r="P1423" t="n">
        <v>0.00525</v>
      </c>
      <c r="Q1423" t="n">
        <v>-40</v>
      </c>
      <c r="R1423" t="n">
        <v>0.02748</v>
      </c>
      <c r="S1423">
        <f>IMAGE("https://mitra.stanford.edu/kundaje/oak/projects/neuro-variants/variant_position/credible/roussos_2024/variant_figures/roussos_2024.infant.GLU/rs11640574_count_position.png",4,220,900)</f>
        <v/>
      </c>
      <c r="T1423">
        <f>IMAGE("https://mitra.stanford.edu/kundaje/oak/projects/neuro-variants/variant_position/credible/roussos_2024/variant_figures/roussos_2024.infant.GLU/rs11640574_profile_position.png",4,220,900)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-0.0192209651999999</v>
      </c>
      <c r="G1424" t="n">
        <v>0.4668629457442931</v>
      </c>
      <c r="H1424" t="n">
        <v>0.008968927016605999</v>
      </c>
      <c r="I1424" t="n">
        <v>0.8088399347991547</v>
      </c>
      <c r="J1424" t="n">
        <v>0.06475671862254451</v>
      </c>
      <c r="K1424" t="n">
        <v>0.2898824833209497</v>
      </c>
      <c r="L1424" t="b">
        <v>0</v>
      </c>
      <c r="M1424" t="b">
        <v>0</v>
      </c>
      <c r="N1424" t="inlineStr">
        <is>
          <t>ref</t>
        </is>
      </c>
      <c r="O1424" t="n">
        <v>100</v>
      </c>
      <c r="P1424" t="n">
        <v>0.010284</v>
      </c>
      <c r="Q1424" t="n">
        <v>-35</v>
      </c>
      <c r="R1424" t="n">
        <v>0.2754</v>
      </c>
      <c r="S1424">
        <f>IMAGE("https://mitra.stanford.edu/kundaje/oak/projects/neuro-variants/variant_position/credible/roussos_2024/variant_figures/roussos_2024.infant.GLU/rs4788197_count_position.png",4,220,900)</f>
        <v/>
      </c>
      <c r="T1424">
        <f>IMAGE("https://mitra.stanford.edu/kundaje/oak/projects/neuro-variants/variant_position/credible/roussos_2024/variant_figures/roussos_2024.infant.GLU/rs4788197_profile_position.png",4,220,900)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0.0272194235599999</v>
      </c>
      <c r="G1425" t="n">
        <v>0.3559280820604124</v>
      </c>
      <c r="H1425" t="n">
        <v>0.0227832217687169</v>
      </c>
      <c r="I1425" t="n">
        <v>0.1341682119506046</v>
      </c>
      <c r="J1425" t="n">
        <v>0.0188154500760598</v>
      </c>
      <c r="K1425" t="n">
        <v>0.5489123735294118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0.04077</v>
      </c>
      <c r="Q1425" t="n">
        <v>-30</v>
      </c>
      <c r="R1425" t="n">
        <v>0.03967</v>
      </c>
      <c r="S1425">
        <f>IMAGE("https://mitra.stanford.edu/kundaje/oak/projects/neuro-variants/variant_position/credible/roussos_2024/variant_figures/roussos_2024.infant.GLU/rs4788200_count_position.png",4,220,900)</f>
        <v/>
      </c>
      <c r="T1425">
        <f>IMAGE("https://mitra.stanford.edu/kundaje/oak/projects/neuro-variants/variant_position/credible/roussos_2024/variant_figures/roussos_2024.infant.GLU/rs4788200_profile_position.png",4,220,900)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0.010695843778</v>
      </c>
      <c r="G1426" t="n">
        <v>0.6500486131224182</v>
      </c>
      <c r="H1426" t="n">
        <v>0.030603838476375</v>
      </c>
      <c r="I1426" t="n">
        <v>0.0549189716039063</v>
      </c>
      <c r="J1426" t="n">
        <v>0.023219206772636</v>
      </c>
      <c r="K1426" t="n">
        <v>0.50336005604843</v>
      </c>
      <c r="L1426" t="b">
        <v>0</v>
      </c>
      <c r="M1426" t="b">
        <v>0</v>
      </c>
      <c r="N1426" t="inlineStr">
        <is>
          <t>alt</t>
        </is>
      </c>
      <c r="O1426" t="n">
        <v>100</v>
      </c>
      <c r="P1426" t="n">
        <v>0.01257</v>
      </c>
      <c r="Q1426" t="n">
        <v>60</v>
      </c>
      <c r="R1426" t="n">
        <v>0.1501</v>
      </c>
      <c r="S1426">
        <f>IMAGE("https://mitra.stanford.edu/kundaje/oak/projects/neuro-variants/variant_position/credible/roussos_2024/variant_figures/roussos_2024.infant.GLU/rs12934406_count_position.png",4,220,900)</f>
        <v/>
      </c>
      <c r="T1426">
        <f>IMAGE("https://mitra.stanford.edu/kundaje/oak/projects/neuro-variants/variant_position/credible/roussos_2024/variant_figures/roussos_2024.infant.GLU/rs12934406_profile_position.png",4,220,900)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0.02058025914</v>
      </c>
      <c r="G1427" t="n">
        <v>0.429101773161879</v>
      </c>
      <c r="H1427" t="n">
        <v>0.0581797111639969</v>
      </c>
      <c r="I1427" t="n">
        <v>0.0036152722322042</v>
      </c>
      <c r="J1427" t="n">
        <v>0.0294450935867192</v>
      </c>
      <c r="K1427" t="n">
        <v>0.4520656844311486</v>
      </c>
      <c r="L1427" t="b">
        <v>1</v>
      </c>
      <c r="M1427" t="b">
        <v>0</v>
      </c>
      <c r="N1427" t="inlineStr">
        <is>
          <t>alt</t>
        </is>
      </c>
      <c r="O1427" t="n">
        <v>15</v>
      </c>
      <c r="P1427" t="n">
        <v>0.003418</v>
      </c>
      <c r="Q1427" t="n">
        <v>-80</v>
      </c>
      <c r="R1427" t="n">
        <v>0.08527</v>
      </c>
      <c r="S1427">
        <f>IMAGE("https://mitra.stanford.edu/kundaje/oak/projects/neuro-variants/variant_position/credible/roussos_2024/variant_figures/roussos_2024.infant.GLU/rs9932196_count_position.png",4,220,900)</f>
        <v/>
      </c>
      <c r="T1427">
        <f>IMAGE("https://mitra.stanford.edu/kundaje/oak/projects/neuro-variants/variant_position/credible/roussos_2024/variant_figures/roussos_2024.infant.GLU/rs9932196_profile_position.png",4,220,900)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-0.0720473032</v>
      </c>
      <c r="G1428" t="n">
        <v>0.1020962265392847</v>
      </c>
      <c r="H1428" t="n">
        <v>0.0164315202780129</v>
      </c>
      <c r="I1428" t="n">
        <v>0.302367738567142</v>
      </c>
      <c r="J1428" t="n">
        <v>0.0229028417734076</v>
      </c>
      <c r="K1428" t="n">
        <v>0.5162544100633684</v>
      </c>
      <c r="L1428" t="b">
        <v>0</v>
      </c>
      <c r="M1428" t="b">
        <v>0</v>
      </c>
      <c r="N1428" t="inlineStr">
        <is>
          <t>ref</t>
        </is>
      </c>
      <c r="O1428" t="n">
        <v>80</v>
      </c>
      <c r="P1428" t="n">
        <v>0.005188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IMAGE("https://mitra.stanford.edu/kundaje/oak/projects/neuro-variants/variant_position/credible/roussos_2024/variant_figures/roussos_2024.infant.GLU/rs11642046_count_position.png",4,220,900)</f>
        <v/>
      </c>
      <c r="T1428">
        <f>IMAGE("https://mitra.stanford.edu/kundaje/oak/projects/neuro-variants/variant_position/credible/roussos_2024/variant_figures/roussos_2024.infant.GLU/rs11642046_profile_position.png",4,220,900)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-0.00655466584</v>
      </c>
      <c r="G1429" t="n">
        <v>0.6227539848308435</v>
      </c>
      <c r="H1429" t="n">
        <v>0.009101198176875</v>
      </c>
      <c r="I1429" t="n">
        <v>0.8255912197682648</v>
      </c>
      <c r="J1429" t="n">
        <v>0.4804008024868273</v>
      </c>
      <c r="K1429" t="n">
        <v>0.0329885390917341</v>
      </c>
      <c r="L1429" t="b">
        <v>0</v>
      </c>
      <c r="M1429" t="b">
        <v>0</v>
      </c>
      <c r="N1429" t="inlineStr">
        <is>
          <t>ref</t>
        </is>
      </c>
      <c r="O1429" t="n">
        <v>100</v>
      </c>
      <c r="P1429" t="n">
        <v>0.03177</v>
      </c>
      <c r="Q1429" t="n">
        <v>100</v>
      </c>
      <c r="R1429" t="n">
        <v>0.2534</v>
      </c>
      <c r="S1429">
        <f>IMAGE("https://mitra.stanford.edu/kundaje/oak/projects/neuro-variants/variant_position/credible/roussos_2024/variant_figures/roussos_2024.infant.GLU/rs3814884_count_position.png",4,220,900)</f>
        <v/>
      </c>
      <c r="T1429">
        <f>IMAGE("https://mitra.stanford.edu/kundaje/oak/projects/neuro-variants/variant_position/credible/roussos_2024/variant_figures/roussos_2024.infant.GLU/rs3814884_profile_position.png",4,220,900)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-0.131176979</v>
      </c>
      <c r="G1430" t="n">
        <v>0.0295508637555644</v>
      </c>
      <c r="H1430" t="n">
        <v>0.0280208620950453</v>
      </c>
      <c r="I1430" t="n">
        <v>0.0737607723297653</v>
      </c>
      <c r="J1430" t="n">
        <v>0.4810743182168918</v>
      </c>
      <c r="K1430" t="n">
        <v>0.0329737034147334</v>
      </c>
      <c r="L1430" t="b">
        <v>0</v>
      </c>
      <c r="M1430" t="b">
        <v>0</v>
      </c>
      <c r="N1430" t="inlineStr">
        <is>
          <t>ref</t>
        </is>
      </c>
      <c r="O1430" t="n">
        <v>30</v>
      </c>
      <c r="P1430" t="n">
        <v>0.001038</v>
      </c>
      <c r="Q1430" t="n">
        <v>65</v>
      </c>
      <c r="R1430" t="n">
        <v>0.04883</v>
      </c>
      <c r="S1430">
        <f>IMAGE("https://mitra.stanford.edu/kundaje/oak/projects/neuro-variants/variant_position/credible/roussos_2024/variant_figures/roussos_2024.infant.GLU/rs3814883_count_position.png",4,220,900)</f>
        <v/>
      </c>
      <c r="T1430">
        <f>IMAGE("https://mitra.stanford.edu/kundaje/oak/projects/neuro-variants/variant_position/credible/roussos_2024/variant_figures/roussos_2024.infant.GLU/rs3814883_profile_position.png",4,220,900)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-0.0358309365999999</v>
      </c>
      <c r="G1431" t="n">
        <v>0.261090818473403</v>
      </c>
      <c r="H1431" t="n">
        <v>0.0100436389392529</v>
      </c>
      <c r="I1431" t="n">
        <v>0.7185293941680999</v>
      </c>
      <c r="J1431" t="n">
        <v>0.0156363676447893</v>
      </c>
      <c r="K1431" t="n">
        <v>0.5840961853036754</v>
      </c>
      <c r="L1431" t="b">
        <v>0</v>
      </c>
      <c r="M1431" t="b">
        <v>0</v>
      </c>
      <c r="N1431" t="inlineStr">
        <is>
          <t>ref</t>
        </is>
      </c>
      <c r="O1431" t="n">
        <v>-95</v>
      </c>
      <c r="P1431" t="n">
        <v>0.0711</v>
      </c>
      <c r="Q1431" t="n">
        <v>-90</v>
      </c>
      <c r="R1431" t="n">
        <v>0.1436</v>
      </c>
      <c r="S1431">
        <f>IMAGE("https://mitra.stanford.edu/kundaje/oak/projects/neuro-variants/variant_position/credible/roussos_2024/variant_figures/roussos_2024.infant.GLU/rs4787489_count_position.png",4,220,900)</f>
        <v/>
      </c>
      <c r="T1431">
        <f>IMAGE("https://mitra.stanford.edu/kundaje/oak/projects/neuro-variants/variant_position/credible/roussos_2024/variant_figures/roussos_2024.infant.GLU/rs4787489_profile_position.png",4,220,900)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0.0482914391999999</v>
      </c>
      <c r="G1432" t="n">
        <v>0.1733806671331752</v>
      </c>
      <c r="H1432" t="n">
        <v>0.013699011754564</v>
      </c>
      <c r="I1432" t="n">
        <v>0.4343913784806978</v>
      </c>
      <c r="J1432" t="n">
        <v>0.1894894067329526</v>
      </c>
      <c r="K1432" t="n">
        <v>0.1173445226050875</v>
      </c>
      <c r="L1432" t="b">
        <v>0</v>
      </c>
      <c r="M1432" t="b">
        <v>0</v>
      </c>
      <c r="N1432" t="inlineStr">
        <is>
          <t>alt</t>
        </is>
      </c>
      <c r="O1432" t="n">
        <v>-80</v>
      </c>
      <c r="P1432" t="n">
        <v>0.003674</v>
      </c>
      <c r="Q1432" t="n">
        <v>-100</v>
      </c>
      <c r="R1432" t="n">
        <v>0.0558</v>
      </c>
      <c r="S1432">
        <f>IMAGE("https://mitra.stanford.edu/kundaje/oak/projects/neuro-variants/variant_position/credible/roussos_2024/variant_figures/roussos_2024.infant.GLU/rs9924686_count_position.png",4,220,900)</f>
        <v/>
      </c>
      <c r="T1432">
        <f>IMAGE("https://mitra.stanford.edu/kundaje/oak/projects/neuro-variants/variant_position/credible/roussos_2024/variant_figures/roussos_2024.infant.GLU/rs9924686_profile_position.png",4,220,900)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0.026352079</v>
      </c>
      <c r="G1433" t="n">
        <v>0.3485481248979774</v>
      </c>
      <c r="H1433" t="n">
        <v>0.0160190887177617</v>
      </c>
      <c r="I1433" t="n">
        <v>0.3132163452079295</v>
      </c>
      <c r="J1433" t="n">
        <v>0.0375923190546528</v>
      </c>
      <c r="K1433" t="n">
        <v>0.4087388370881878</v>
      </c>
      <c r="L1433" t="b">
        <v>0</v>
      </c>
      <c r="M1433" t="b">
        <v>0</v>
      </c>
      <c r="N1433" t="inlineStr">
        <is>
          <t>alt</t>
        </is>
      </c>
      <c r="O1433" t="n">
        <v>-25</v>
      </c>
      <c r="P1433" t="n">
        <v>0.001617</v>
      </c>
      <c r="Q1433" t="n">
        <v>-70</v>
      </c>
      <c r="R1433" t="n">
        <v>0.01428</v>
      </c>
      <c r="S1433">
        <f>IMAGE("https://mitra.stanford.edu/kundaje/oak/projects/neuro-variants/variant_position/credible/roussos_2024/variant_figures/roussos_2024.infant.GLU/rs72777107_count_position.png",4,220,900)</f>
        <v/>
      </c>
      <c r="T1433">
        <f>IMAGE("https://mitra.stanford.edu/kundaje/oak/projects/neuro-variants/variant_position/credible/roussos_2024/variant_figures/roussos_2024.infant.GLU/rs72777107_profile_position.png",4,220,900)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-0.0436180314</v>
      </c>
      <c r="G1434" t="n">
        <v>0.2072760925294454</v>
      </c>
      <c r="H1434" t="n">
        <v>0.0081898308831862</v>
      </c>
      <c r="I1434" t="n">
        <v>0.8925454244677806</v>
      </c>
      <c r="J1434" t="n">
        <v>0.0962907030578275</v>
      </c>
      <c r="K1434" t="n">
        <v>0.212602660189752</v>
      </c>
      <c r="L1434" t="b">
        <v>0</v>
      </c>
      <c r="M1434" t="b">
        <v>0</v>
      </c>
      <c r="N1434" t="inlineStr">
        <is>
          <t>ref</t>
        </is>
      </c>
      <c r="O1434" t="n">
        <v>80</v>
      </c>
      <c r="P1434" t="n">
        <v>0.00598</v>
      </c>
      <c r="Q1434" t="n">
        <v>85</v>
      </c>
      <c r="R1434" t="n">
        <v>0.1035</v>
      </c>
      <c r="S1434">
        <f>IMAGE("https://mitra.stanford.edu/kundaje/oak/projects/neuro-variants/variant_position/credible/roussos_2024/variant_figures/roussos_2024.infant.GLU/rs9928398_count_position.png",4,220,900)</f>
        <v/>
      </c>
      <c r="T1434">
        <f>IMAGE("https://mitra.stanford.edu/kundaje/oak/projects/neuro-variants/variant_position/credible/roussos_2024/variant_figures/roussos_2024.infant.GLU/rs9928398_profile_position.png",4,220,900)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-0.018433056</v>
      </c>
      <c r="G1435" t="n">
        <v>0.4760306834404898</v>
      </c>
      <c r="H1435" t="n">
        <v>0.008384952478950901</v>
      </c>
      <c r="I1435" t="n">
        <v>0.8839730264718876</v>
      </c>
      <c r="J1435" t="n">
        <v>0.140701955510483</v>
      </c>
      <c r="K1435" t="n">
        <v>0.1609288586684401</v>
      </c>
      <c r="L1435" t="b">
        <v>0</v>
      </c>
      <c r="M1435" t="b">
        <v>0</v>
      </c>
      <c r="N1435" t="inlineStr">
        <is>
          <t>ref</t>
        </is>
      </c>
      <c r="O1435" t="n">
        <v>100</v>
      </c>
      <c r="P1435" t="n">
        <v>0.2368</v>
      </c>
      <c r="Q1435" t="n">
        <v>55</v>
      </c>
      <c r="R1435" t="n">
        <v>0.1057</v>
      </c>
      <c r="S1435">
        <f>IMAGE("https://mitra.stanford.edu/kundaje/oak/projects/neuro-variants/variant_position/credible/roussos_2024/variant_figures/roussos_2024.infant.GLU/rs8056038_count_position.png",4,220,900)</f>
        <v/>
      </c>
      <c r="T1435">
        <f>IMAGE("https://mitra.stanford.edu/kundaje/oak/projects/neuro-variants/variant_position/credible/roussos_2024/variant_figures/roussos_2024.infant.GLU/rs8056038_profile_position.png",4,220,900)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-0.0352182405999999</v>
      </c>
      <c r="G1436" t="n">
        <v>0.2748452485041883</v>
      </c>
      <c r="H1436" t="n">
        <v>0.009317983602220701</v>
      </c>
      <c r="I1436" t="n">
        <v>0.8060083847815545</v>
      </c>
      <c r="J1436" t="n">
        <v>0.1405807006327299</v>
      </c>
      <c r="K1436" t="n">
        <v>0.161034766617761</v>
      </c>
      <c r="L1436" t="b">
        <v>0</v>
      </c>
      <c r="M1436" t="b">
        <v>0</v>
      </c>
      <c r="N1436" t="inlineStr">
        <is>
          <t>ref</t>
        </is>
      </c>
      <c r="O1436" t="n">
        <v>100</v>
      </c>
      <c r="P1436" t="n">
        <v>0.2277</v>
      </c>
      <c r="Q1436" t="n">
        <v>50</v>
      </c>
      <c r="R1436" t="n">
        <v>0.101</v>
      </c>
      <c r="S1436">
        <f>IMAGE("https://mitra.stanford.edu/kundaje/oak/projects/neuro-variants/variant_position/credible/roussos_2024/variant_figures/roussos_2024.infant.GLU/rs8056039_count_position.png",4,220,900)</f>
        <v/>
      </c>
      <c r="T1436">
        <f>IMAGE("https://mitra.stanford.edu/kundaje/oak/projects/neuro-variants/variant_position/credible/roussos_2024/variant_figures/roussos_2024.infant.GLU/rs8056039_profile_position.png",4,220,900)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0.00286948858</v>
      </c>
      <c r="G1437" t="n">
        <v>0.732544936809114</v>
      </c>
      <c r="H1437" t="n">
        <v>0.0072733855035883</v>
      </c>
      <c r="I1437" t="n">
        <v>0.949894214835337</v>
      </c>
      <c r="J1437" t="n">
        <v>0.0033664763332524</v>
      </c>
      <c r="K1437" t="n">
        <v>0.7932433332939971</v>
      </c>
      <c r="L1437" t="b">
        <v>0</v>
      </c>
      <c r="M1437" t="b">
        <v>0</v>
      </c>
      <c r="N1437" t="inlineStr">
        <is>
          <t>alt</t>
        </is>
      </c>
      <c r="O1437" t="n">
        <v>-70</v>
      </c>
      <c r="P1437" t="n">
        <v>0.008156</v>
      </c>
      <c r="Q1437" t="n">
        <v>70</v>
      </c>
      <c r="R1437" t="n">
        <v>0.03754</v>
      </c>
      <c r="S1437">
        <f>IMAGE("https://mitra.stanford.edu/kundaje/oak/projects/neuro-variants/variant_position/credible/roussos_2024/variant_figures/roussos_2024.infant.GLU/rs37035_count_position.png",4,220,900)</f>
        <v/>
      </c>
      <c r="T1437">
        <f>IMAGE("https://mitra.stanford.edu/kundaje/oak/projects/neuro-variants/variant_position/credible/roussos_2024/variant_figures/roussos_2024.infant.GLU/rs37035_profile_position.png",4,220,900)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-0.0517189346</v>
      </c>
      <c r="G1438" t="n">
        <v>0.1608802893236195</v>
      </c>
      <c r="H1438" t="n">
        <v>0.0125406287073457</v>
      </c>
      <c r="I1438" t="n">
        <v>0.5156943913241363</v>
      </c>
      <c r="J1438" t="n">
        <v>0.01806146519985</v>
      </c>
      <c r="K1438" t="n">
        <v>0.5549772209191111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0.2461</v>
      </c>
      <c r="Q1438" t="n">
        <v>50</v>
      </c>
      <c r="R1438" t="n">
        <v>0.09875</v>
      </c>
      <c r="S1438">
        <f>IMAGE("https://mitra.stanford.edu/kundaje/oak/projects/neuro-variants/variant_position/credible/roussos_2024/variant_figures/roussos_2024.infant.GLU/rs37059_count_position.png",4,220,900)</f>
        <v/>
      </c>
      <c r="T1438">
        <f>IMAGE("https://mitra.stanford.edu/kundaje/oak/projects/neuro-variants/variant_position/credible/roussos_2024/variant_figures/roussos_2024.infant.GLU/rs37059_profile_position.png",4,220,900)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0.0774215058</v>
      </c>
      <c r="G1439" t="n">
        <v>0.0821060992841261</v>
      </c>
      <c r="H1439" t="n">
        <v>0.0315722406705509</v>
      </c>
      <c r="I1439" t="n">
        <v>0.0504321785264891</v>
      </c>
      <c r="J1439" t="n">
        <v>0.2313080094358341</v>
      </c>
      <c r="K1439" t="n">
        <v>0.0929008161356136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0.17</v>
      </c>
      <c r="Q1439" t="n">
        <v>25</v>
      </c>
      <c r="R1439" t="n">
        <v>0.147</v>
      </c>
      <c r="S1439">
        <f>IMAGE("https://mitra.stanford.edu/kundaje/oak/projects/neuro-variants/variant_position/credible/roussos_2024/variant_figures/roussos_2024.infant.GLU/rs7201946_count_position.png",4,220,900)</f>
        <v/>
      </c>
      <c r="T1439">
        <f>IMAGE("https://mitra.stanford.edu/kundaje/oak/projects/neuro-variants/variant_position/credible/roussos_2024/variant_figures/roussos_2024.infant.GLU/rs7201946_profile_position.png",4,220,900)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0.1118285394</v>
      </c>
      <c r="G1440" t="n">
        <v>0.0460940589207609</v>
      </c>
      <c r="H1440" t="n">
        <v>0.014853308958295</v>
      </c>
      <c r="I1440" t="n">
        <v>0.3794083724787407</v>
      </c>
      <c r="J1440" t="n">
        <v>0.0065047730329151</v>
      </c>
      <c r="K1440" t="n">
        <v>0.7209915056673339</v>
      </c>
      <c r="L1440" t="b">
        <v>0</v>
      </c>
      <c r="M1440" t="b">
        <v>0</v>
      </c>
      <c r="N1440" t="inlineStr">
        <is>
          <t>alt</t>
        </is>
      </c>
      <c r="O1440" t="n">
        <v>-100</v>
      </c>
      <c r="P1440" t="n">
        <v>0.01932</v>
      </c>
      <c r="Q1440" t="n">
        <v>-95</v>
      </c>
      <c r="R1440" t="n">
        <v>0.07556</v>
      </c>
      <c r="S1440">
        <f>IMAGE("https://mitra.stanford.edu/kundaje/oak/projects/neuro-variants/variant_position/credible/roussos_2024/variant_figures/roussos_2024.infant.GLU/rs7206744_count_position.png",4,220,900)</f>
        <v/>
      </c>
      <c r="T1440">
        <f>IMAGE("https://mitra.stanford.edu/kundaje/oak/projects/neuro-variants/variant_position/credible/roussos_2024/variant_figures/roussos_2024.infant.GLU/rs7206744_profile_position.png",4,220,900)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-0.0453174626</v>
      </c>
      <c r="G1441" t="n">
        <v>0.1942591163017998</v>
      </c>
      <c r="H1441" t="n">
        <v>0.0111922173777929</v>
      </c>
      <c r="I1441" t="n">
        <v>0.6218199393474926</v>
      </c>
      <c r="J1441" t="n">
        <v>0.08981348795167431</v>
      </c>
      <c r="K1441" t="n">
        <v>0.2246536729521376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0.04346</v>
      </c>
      <c r="Q1441" t="n">
        <v>-30</v>
      </c>
      <c r="R1441" t="n">
        <v>0.0408</v>
      </c>
      <c r="S1441">
        <f>IMAGE("https://mitra.stanford.edu/kundaje/oak/projects/neuro-variants/variant_position/credible/roussos_2024/variant_figures/roussos_2024.infant.GLU/rs9936144_count_position.png",4,220,900)</f>
        <v/>
      </c>
      <c r="T1441">
        <f>IMAGE("https://mitra.stanford.edu/kundaje/oak/projects/neuro-variants/variant_position/credible/roussos_2024/variant_figures/roussos_2024.infant.GLU/rs9936144_profile_position.png",4,220,900)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0.00542824838</v>
      </c>
      <c r="G1442" t="n">
        <v>0.7220924597072886</v>
      </c>
      <c r="H1442" t="n">
        <v>0.0466652033702616</v>
      </c>
      <c r="I1442" t="n">
        <v>0.0104953914503618</v>
      </c>
      <c r="J1442" t="n">
        <v>0.0246169448180074</v>
      </c>
      <c r="K1442" t="n">
        <v>0.4925887946623382</v>
      </c>
      <c r="L1442" t="b">
        <v>1</v>
      </c>
      <c r="M1442" t="b">
        <v>0</v>
      </c>
      <c r="N1442" t="inlineStr">
        <is>
          <t>alt</t>
        </is>
      </c>
      <c r="O1442" t="n">
        <v>-60</v>
      </c>
      <c r="P1442" t="n">
        <v>0.03613</v>
      </c>
      <c r="Q1442" t="n">
        <v>-100</v>
      </c>
      <c r="R1442" t="n">
        <v>0.2319</v>
      </c>
      <c r="S1442">
        <f>IMAGE("https://mitra.stanford.edu/kundaje/oak/projects/neuro-variants/variant_position/credible/roussos_2024/variant_figures/roussos_2024.infant.GLU/rs116630925_count_position.png",4,220,900)</f>
        <v/>
      </c>
      <c r="T1442">
        <f>IMAGE("https://mitra.stanford.edu/kundaje/oak/projects/neuro-variants/variant_position/credible/roussos_2024/variant_figures/roussos_2024.infant.GLU/rs116630925_profile_position.png",4,220,900)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0.160591148</v>
      </c>
      <c r="G1443" t="n">
        <v>0.0182362765801243</v>
      </c>
      <c r="H1443" t="n">
        <v>0.0311986268034405</v>
      </c>
      <c r="I1443" t="n">
        <v>0.050402288182662</v>
      </c>
      <c r="J1443" t="n">
        <v>0.1575200070548292</v>
      </c>
      <c r="K1443" t="n">
        <v>0.1435955549482271</v>
      </c>
      <c r="L1443" t="b">
        <v>1</v>
      </c>
      <c r="M1443" t="b">
        <v>0</v>
      </c>
      <c r="N1443" t="inlineStr">
        <is>
          <t>alt</t>
        </is>
      </c>
      <c r="O1443" t="n">
        <v>90</v>
      </c>
      <c r="P1443" t="n">
        <v>0.007324</v>
      </c>
      <c r="Q1443" t="n">
        <v>5</v>
      </c>
      <c r="R1443" t="n">
        <v>0.0105</v>
      </c>
      <c r="S1443">
        <f>IMAGE("https://mitra.stanford.edu/kundaje/oak/projects/neuro-variants/variant_position/credible/roussos_2024/variant_figures/roussos_2024.infant.GLU/rs12443835_count_position.png",4,220,900)</f>
        <v/>
      </c>
      <c r="T1443">
        <f>IMAGE("https://mitra.stanford.edu/kundaje/oak/projects/neuro-variants/variant_position/credible/roussos_2024/variant_figures/roussos_2024.infant.GLU/rs12443835_profile_position.png",4,220,900)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0.0028422379399999</v>
      </c>
      <c r="G1444" t="n">
        <v>0.6215798948957382</v>
      </c>
      <c r="H1444" t="n">
        <v>0.0096590550323824</v>
      </c>
      <c r="I1444" t="n">
        <v>0.7641777925388169</v>
      </c>
      <c r="J1444" t="n">
        <v>0.0382889834431975</v>
      </c>
      <c r="K1444" t="n">
        <v>0.4041111855480297</v>
      </c>
      <c r="L1444" t="b">
        <v>0</v>
      </c>
      <c r="M1444" t="b">
        <v>0</v>
      </c>
      <c r="N1444" t="inlineStr">
        <is>
          <t>alt</t>
        </is>
      </c>
      <c r="O1444" t="n">
        <v>35</v>
      </c>
      <c r="P1444" t="n">
        <v>0.006042</v>
      </c>
      <c r="Q1444" t="n">
        <v>85</v>
      </c>
      <c r="R1444" t="n">
        <v>0.1287</v>
      </c>
      <c r="S1444">
        <f>IMAGE("https://mitra.stanford.edu/kundaje/oak/projects/neuro-variants/variant_position/credible/roussos_2024/variant_figures/roussos_2024.infant.GLU/rs9925537_count_position.png",4,220,900)</f>
        <v/>
      </c>
      <c r="T1444">
        <f>IMAGE("https://mitra.stanford.edu/kundaje/oak/projects/neuro-variants/variant_position/credible/roussos_2024/variant_figures/roussos_2024.infant.GLU/rs9925537_profile_position.png",4,220,900)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0.10972171</v>
      </c>
      <c r="G1445" t="n">
        <v>0.0414217188319331</v>
      </c>
      <c r="H1445" t="n">
        <v>0.04657184999592</v>
      </c>
      <c r="I1445" t="n">
        <v>0.0105132340708794</v>
      </c>
      <c r="J1445" t="n">
        <v>0.0214775458012742</v>
      </c>
      <c r="K1445" t="n">
        <v>0.5332619817986807</v>
      </c>
      <c r="L1445" t="b">
        <v>1</v>
      </c>
      <c r="M1445" t="b">
        <v>0</v>
      </c>
      <c r="N1445" t="inlineStr">
        <is>
          <t>alt</t>
        </is>
      </c>
      <c r="O1445" t="n">
        <v>-90</v>
      </c>
      <c r="P1445" t="n">
        <v>0.04443</v>
      </c>
      <c r="Q1445" t="n">
        <v>5</v>
      </c>
      <c r="R1445" t="n">
        <v>0.001343</v>
      </c>
      <c r="S1445">
        <f>IMAGE("https://mitra.stanford.edu/kundaje/oak/projects/neuro-variants/variant_position/credible/roussos_2024/variant_figures/roussos_2024.infant.GLU/rs154433_count_position.png",4,220,900)</f>
        <v/>
      </c>
      <c r="T1445">
        <f>IMAGE("https://mitra.stanford.edu/kundaje/oak/projects/neuro-variants/variant_position/credible/roussos_2024/variant_figures/roussos_2024.infant.GLU/rs154433_profile_position.png",4,220,900)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-0.03359850854</v>
      </c>
      <c r="G1446" t="n">
        <v>0.2904175219569283</v>
      </c>
      <c r="H1446" t="n">
        <v>0.0127075192792762</v>
      </c>
      <c r="I1446" t="n">
        <v>0.5073788248220801</v>
      </c>
      <c r="J1446" t="n">
        <v>0.0199783945854185</v>
      </c>
      <c r="K1446" t="n">
        <v>0.537757450095218</v>
      </c>
      <c r="L1446" t="b">
        <v>0</v>
      </c>
      <c r="M1446" t="b">
        <v>0</v>
      </c>
      <c r="N1446" t="inlineStr">
        <is>
          <t>ref</t>
        </is>
      </c>
      <c r="O1446" t="n">
        <v>40</v>
      </c>
      <c r="P1446" t="n">
        <v>0.009889999999999999</v>
      </c>
      <c r="Q1446" t="n">
        <v>0</v>
      </c>
      <c r="R1446" t="n">
        <v>0</v>
      </c>
      <c r="S1446">
        <f>IMAGE("https://mitra.stanford.edu/kundaje/oak/projects/neuro-variants/variant_position/credible/roussos_2024/variant_figures/roussos_2024.infant.GLU/rs7193419_count_position.png",4,220,900)</f>
        <v/>
      </c>
      <c r="T1446">
        <f>IMAGE("https://mitra.stanford.edu/kundaje/oak/projects/neuro-variants/variant_position/credible/roussos_2024/variant_figures/roussos_2024.infant.GLU/rs7193419_profile_position.png",4,220,900)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-0.0151437218</v>
      </c>
      <c r="G1447" t="n">
        <v>0.5131345145715182</v>
      </c>
      <c r="H1447" t="n">
        <v>0.0286053352046137</v>
      </c>
      <c r="I1447" t="n">
        <v>0.06729637540213219</v>
      </c>
      <c r="J1447" t="n">
        <v>0.09643069732577871</v>
      </c>
      <c r="K1447" t="n">
        <v>0.2117983521586102</v>
      </c>
      <c r="L1447" t="b">
        <v>0</v>
      </c>
      <c r="M1447" t="b">
        <v>0</v>
      </c>
      <c r="N1447" t="inlineStr">
        <is>
          <t>ref</t>
        </is>
      </c>
      <c r="O1447" t="n">
        <v>55</v>
      </c>
      <c r="P1447" t="n">
        <v>0.00979</v>
      </c>
      <c r="Q1447" t="n">
        <v>95</v>
      </c>
      <c r="R1447" t="n">
        <v>0.251</v>
      </c>
      <c r="S1447">
        <f>IMAGE("https://mitra.stanford.edu/kundaje/oak/projects/neuro-variants/variant_position/credible/roussos_2024/variant_figures/roussos_2024.infant.GLU/rs6498914_count_position.png",4,220,900)</f>
        <v/>
      </c>
      <c r="T1447">
        <f>IMAGE("https://mitra.stanford.edu/kundaje/oak/projects/neuro-variants/variant_position/credible/roussos_2024/variant_figures/roussos_2024.infant.GLU/rs6498914_profile_position.png",4,220,900)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0.0251964366</v>
      </c>
      <c r="G1448" t="n">
        <v>0.3683924413954068</v>
      </c>
      <c r="H1448" t="n">
        <v>0.0231338316487122</v>
      </c>
      <c r="I1448" t="n">
        <v>0.1255941522147422</v>
      </c>
      <c r="J1448" t="n">
        <v>0.0533102581626578</v>
      </c>
      <c r="K1448" t="n">
        <v>0.3294093709320252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0.0393</v>
      </c>
      <c r="Q1448" t="n">
        <v>-100</v>
      </c>
      <c r="R1448" t="n">
        <v>0.07389999999999999</v>
      </c>
      <c r="S1448">
        <f>IMAGE("https://mitra.stanford.edu/kundaje/oak/projects/neuro-variants/variant_position/credible/roussos_2024/variant_figures/roussos_2024.infant.GLU/rs4353494_count_position.png",4,220,900)</f>
        <v/>
      </c>
      <c r="T1448">
        <f>IMAGE("https://mitra.stanford.edu/kundaje/oak/projects/neuro-variants/variant_position/credible/roussos_2024/variant_figures/roussos_2024.infant.GLU/rs4353494_profile_position.png",4,220,900)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-0.0196952367999999</v>
      </c>
      <c r="G1449" t="n">
        <v>0.4345622129014346</v>
      </c>
      <c r="H1449" t="n">
        <v>0.0075061711625992</v>
      </c>
      <c r="I1449" t="n">
        <v>0.9324149141669372</v>
      </c>
      <c r="J1449" t="n">
        <v>0.0346954297934257</v>
      </c>
      <c r="K1449" t="n">
        <v>0.4238140848997103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0.1547</v>
      </c>
      <c r="Q1449" t="n">
        <v>-65</v>
      </c>
      <c r="R1449" t="n">
        <v>0.0993</v>
      </c>
      <c r="S1449">
        <f>IMAGE("https://mitra.stanford.edu/kundaje/oak/projects/neuro-variants/variant_position/credible/roussos_2024/variant_figures/roussos_2024.infant.GLU/rs10775297_count_position.png",4,220,900)</f>
        <v/>
      </c>
      <c r="T1449">
        <f>IMAGE("https://mitra.stanford.edu/kundaje/oak/projects/neuro-variants/variant_position/credible/roussos_2024/variant_figures/roussos_2024.infant.GLU/rs10775297_profile_position.png",4,220,900)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-0.0429026567999999</v>
      </c>
      <c r="G1450" t="n">
        <v>0.2166665038029253</v>
      </c>
      <c r="H1450" t="n">
        <v>0.0115024960399229</v>
      </c>
      <c r="I1450" t="n">
        <v>0.5961551842854982</v>
      </c>
      <c r="J1450" t="n">
        <v>0.0118355783857668</v>
      </c>
      <c r="K1450" t="n">
        <v>0.6294003003009442</v>
      </c>
      <c r="L1450" t="b">
        <v>0</v>
      </c>
      <c r="M1450" t="b">
        <v>0</v>
      </c>
      <c r="N1450" t="inlineStr">
        <is>
          <t>ref</t>
        </is>
      </c>
      <c r="O1450" t="n">
        <v>55</v>
      </c>
      <c r="P1450" t="n">
        <v>0.1357</v>
      </c>
      <c r="Q1450" t="n">
        <v>10</v>
      </c>
      <c r="R1450" t="n">
        <v>0.01335</v>
      </c>
      <c r="S1450">
        <f>IMAGE("https://mitra.stanford.edu/kundaje/oak/projects/neuro-variants/variant_position/credible/roussos_2024/variant_figures/roussos_2024.infant.GLU/rs12933055_count_position.png",4,220,900)</f>
        <v/>
      </c>
      <c r="T1450">
        <f>IMAGE("https://mitra.stanford.edu/kundaje/oak/projects/neuro-variants/variant_position/credible/roussos_2024/variant_figures/roussos_2024.infant.GLU/rs12933055_profile_position.png",4,220,900)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0.0621288745999999</v>
      </c>
      <c r="G1451" t="n">
        <v>0.1263551622722391</v>
      </c>
      <c r="H1451" t="n">
        <v>0.0129926817323131</v>
      </c>
      <c r="I1451" t="n">
        <v>0.4844564098845212</v>
      </c>
      <c r="J1451" t="n">
        <v>0.0929738309927467</v>
      </c>
      <c r="K1451" t="n">
        <v>0.2216777363432632</v>
      </c>
      <c r="L1451" t="b">
        <v>0</v>
      </c>
      <c r="M1451" t="b">
        <v>0</v>
      </c>
      <c r="N1451" t="inlineStr">
        <is>
          <t>alt</t>
        </is>
      </c>
      <c r="O1451" t="n">
        <v>-75</v>
      </c>
      <c r="P1451" t="n">
        <v>0.1398</v>
      </c>
      <c r="Q1451" t="n">
        <v>-50</v>
      </c>
      <c r="R1451" t="n">
        <v>0.1533</v>
      </c>
      <c r="S1451">
        <f>IMAGE("https://mitra.stanford.edu/kundaje/oak/projects/neuro-variants/variant_position/credible/roussos_2024/variant_figures/roussos_2024.infant.GLU/rs2926123_count_position.png",4,220,900)</f>
        <v/>
      </c>
      <c r="T1451">
        <f>IMAGE("https://mitra.stanford.edu/kundaje/oak/projects/neuro-variants/variant_position/credible/roussos_2024/variant_figures/roussos_2024.infant.GLU/rs2926123_profile_position.png",4,220,900)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-0.0323856812</v>
      </c>
      <c r="G1452" t="n">
        <v>0.3047600151376076</v>
      </c>
      <c r="H1452" t="n">
        <v>0.0118862810164687</v>
      </c>
      <c r="I1452" t="n">
        <v>0.5706725331159396</v>
      </c>
      <c r="J1452" t="n">
        <v>0.1999856698780837</v>
      </c>
      <c r="K1452" t="n">
        <v>0.1091077707283053</v>
      </c>
      <c r="L1452" t="b">
        <v>0</v>
      </c>
      <c r="M1452" t="b">
        <v>0</v>
      </c>
      <c r="N1452" t="inlineStr">
        <is>
          <t>ref</t>
        </is>
      </c>
      <c r="O1452" t="n">
        <v>-45</v>
      </c>
      <c r="P1452" t="n">
        <v>0.0006485</v>
      </c>
      <c r="Q1452" t="n">
        <v>-100</v>
      </c>
      <c r="R1452" t="n">
        <v>0.04626</v>
      </c>
      <c r="S1452">
        <f>IMAGE("https://mitra.stanford.edu/kundaje/oak/projects/neuro-variants/variant_position/credible/roussos_2024/variant_figures/roussos_2024.infant.GLU/rs2917686_count_position.png",4,220,900)</f>
        <v/>
      </c>
      <c r="T1452">
        <f>IMAGE("https://mitra.stanford.edu/kundaje/oak/projects/neuro-variants/variant_position/credible/roussos_2024/variant_figures/roussos_2024.infant.GLU/rs2917686_profile_position.png",4,220,900)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-0.01346022898</v>
      </c>
      <c r="G1453" t="n">
        <v>0.570381398301778</v>
      </c>
      <c r="H1453" t="n">
        <v>0.0111315536187073</v>
      </c>
      <c r="I1453" t="n">
        <v>0.6265137047401468</v>
      </c>
      <c r="J1453" t="n">
        <v>0.152896889261227</v>
      </c>
      <c r="K1453" t="n">
        <v>0.1453575642927429</v>
      </c>
      <c r="L1453" t="b">
        <v>0</v>
      </c>
      <c r="M1453" t="b">
        <v>0</v>
      </c>
      <c r="N1453" t="inlineStr">
        <is>
          <t>ref</t>
        </is>
      </c>
      <c r="O1453" t="n">
        <v>55</v>
      </c>
      <c r="P1453" t="n">
        <v>0.00974</v>
      </c>
      <c r="Q1453" t="n">
        <v>-95</v>
      </c>
      <c r="R1453" t="n">
        <v>0.07983</v>
      </c>
      <c r="S1453">
        <f>IMAGE("https://mitra.stanford.edu/kundaje/oak/projects/neuro-variants/variant_position/credible/roussos_2024/variant_figures/roussos_2024.infant.GLU/rs2917688_count_position.png",4,220,900)</f>
        <v/>
      </c>
      <c r="T1453">
        <f>IMAGE("https://mitra.stanford.edu/kundaje/oak/projects/neuro-variants/variant_position/credible/roussos_2024/variant_figures/roussos_2024.infant.GLU/rs2917688_profile_position.png",4,220,900)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0.1252385133999999</v>
      </c>
      <c r="G1454" t="n">
        <v>0.0368735958014112</v>
      </c>
      <c r="H1454" t="n">
        <v>0.0200331494523729</v>
      </c>
      <c r="I1454" t="n">
        <v>0.1930740522189613</v>
      </c>
      <c r="J1454" t="n">
        <v>0.019385348001499</v>
      </c>
      <c r="K1454" t="n">
        <v>0.5420383963878909</v>
      </c>
      <c r="L1454" t="b">
        <v>0</v>
      </c>
      <c r="M1454" t="b">
        <v>0</v>
      </c>
      <c r="N1454" t="inlineStr">
        <is>
          <t>alt</t>
        </is>
      </c>
      <c r="O1454" t="n">
        <v>-100</v>
      </c>
      <c r="P1454" t="n">
        <v>0.02759</v>
      </c>
      <c r="Q1454" t="n">
        <v>-70</v>
      </c>
      <c r="R1454" t="n">
        <v>0.0653</v>
      </c>
      <c r="S1454">
        <f>IMAGE("https://mitra.stanford.edu/kundaje/oak/projects/neuro-variants/variant_position/credible/roussos_2024/variant_figures/roussos_2024.infant.GLU/rs2917696_count_position.png",4,220,900)</f>
        <v/>
      </c>
      <c r="T1454">
        <f>IMAGE("https://mitra.stanford.edu/kundaje/oak/projects/neuro-variants/variant_position/credible/roussos_2024/variant_figures/roussos_2024.infant.GLU/rs2917696_profile_position.png",4,220,900)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-0.0145727602999999</v>
      </c>
      <c r="G1455" t="n">
        <v>0.5439784976522714</v>
      </c>
      <c r="H1455" t="n">
        <v>0.0142648885079521</v>
      </c>
      <c r="I1455" t="n">
        <v>0.3998334923401221</v>
      </c>
      <c r="J1455" t="n">
        <v>0.0033554531625476</v>
      </c>
      <c r="K1455" t="n">
        <v>0.8236487396611171</v>
      </c>
      <c r="L1455" t="b">
        <v>0</v>
      </c>
      <c r="M1455" t="b">
        <v>0</v>
      </c>
      <c r="N1455" t="inlineStr">
        <is>
          <t>ref</t>
        </is>
      </c>
      <c r="O1455" t="n">
        <v>85</v>
      </c>
      <c r="P1455" t="n">
        <v>0.009926000000000001</v>
      </c>
      <c r="Q1455" t="n">
        <v>90</v>
      </c>
      <c r="R1455" t="n">
        <v>0.1283</v>
      </c>
      <c r="S1455">
        <f>IMAGE("https://mitra.stanford.edu/kundaje/oak/projects/neuro-variants/variant_position/credible/roussos_2024/variant_figures/roussos_2024.infant.GLU/rs12921977_count_position.png",4,220,900)</f>
        <v/>
      </c>
      <c r="T1455">
        <f>IMAGE("https://mitra.stanford.edu/kundaje/oak/projects/neuro-variants/variant_position/credible/roussos_2024/variant_figures/roussos_2024.infant.GLU/rs12921977_profile_position.png",4,220,900)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-0.0187275344</v>
      </c>
      <c r="G1456" t="n">
        <v>0.3966571480920831</v>
      </c>
      <c r="H1456" t="n">
        <v>0.0303374081155526</v>
      </c>
      <c r="I1456" t="n">
        <v>0.0559190737642146</v>
      </c>
      <c r="J1456" t="n">
        <v>0.0308659802905707</v>
      </c>
      <c r="K1456" t="n">
        <v>0.4512888279528579</v>
      </c>
      <c r="L1456" t="b">
        <v>0</v>
      </c>
      <c r="M1456" t="b">
        <v>0</v>
      </c>
      <c r="N1456" t="inlineStr">
        <is>
          <t>ref</t>
        </is>
      </c>
      <c r="O1456" t="n">
        <v>5</v>
      </c>
      <c r="P1456" t="n">
        <v>0.0005417</v>
      </c>
      <c r="Q1456" t="n">
        <v>-20</v>
      </c>
      <c r="R1456" t="n">
        <v>0.05566</v>
      </c>
      <c r="S1456">
        <f>IMAGE("https://mitra.stanford.edu/kundaje/oak/projects/neuro-variants/variant_position/credible/roussos_2024/variant_figures/roussos_2024.infant.GLU/rs8058130_count_position.png",4,220,900)</f>
        <v/>
      </c>
      <c r="T1456">
        <f>IMAGE("https://mitra.stanford.edu/kundaje/oak/projects/neuro-variants/variant_position/credible/roussos_2024/variant_figures/roussos_2024.infant.GLU/rs8058130_profile_position.png",4,220,900)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0.0717990315999999</v>
      </c>
      <c r="G1457" t="n">
        <v>0.0974053232747575</v>
      </c>
      <c r="H1457" t="n">
        <v>0.0376752276812683</v>
      </c>
      <c r="I1457" t="n">
        <v>0.0256817562321828</v>
      </c>
      <c r="J1457" t="n">
        <v>0.0005456469498886</v>
      </c>
      <c r="K1457" t="n">
        <v>0.9239946230273846</v>
      </c>
      <c r="L1457" t="b">
        <v>0</v>
      </c>
      <c r="M1457" t="b">
        <v>0</v>
      </c>
      <c r="N1457" t="inlineStr">
        <is>
          <t>alt</t>
        </is>
      </c>
      <c r="O1457" t="n">
        <v>80</v>
      </c>
      <c r="P1457" t="n">
        <v>0.0047</v>
      </c>
      <c r="Q1457" t="n">
        <v>60</v>
      </c>
      <c r="R1457" t="n">
        <v>0.0331</v>
      </c>
      <c r="S1457">
        <f>IMAGE("https://mitra.stanford.edu/kundaje/oak/projects/neuro-variants/variant_position/credible/roussos_2024/variant_figures/roussos_2024.infant.GLU/rs934655_count_position.png",4,220,900)</f>
        <v/>
      </c>
      <c r="T1457">
        <f>IMAGE("https://mitra.stanford.edu/kundaje/oak/projects/neuro-variants/variant_position/credible/roussos_2024/variant_figures/roussos_2024.infant.GLU/rs934655_profile_position.png",4,220,900)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-0.0213977466</v>
      </c>
      <c r="G1458" t="n">
        <v>0.432277353857376</v>
      </c>
      <c r="H1458" t="n">
        <v>0.0112448765010249</v>
      </c>
      <c r="I1458" t="n">
        <v>0.6191712436230994</v>
      </c>
      <c r="J1458" t="n">
        <v>0.0100740757071363</v>
      </c>
      <c r="K1458" t="n">
        <v>0.6729807489169406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0.0426</v>
      </c>
      <c r="Q1458" t="n">
        <v>-100</v>
      </c>
      <c r="R1458" t="n">
        <v>0.0857</v>
      </c>
      <c r="S1458">
        <f>IMAGE("https://mitra.stanford.edu/kundaje/oak/projects/neuro-variants/variant_position/credible/roussos_2024/variant_figures/roussos_2024.infant.GLU/rs4785823_count_position.png",4,220,900)</f>
        <v/>
      </c>
      <c r="T1458">
        <f>IMAGE("https://mitra.stanford.edu/kundaje/oak/projects/neuro-variants/variant_position/credible/roussos_2024/variant_figures/roussos_2024.infant.GLU/rs4785823_profile_position.png",4,220,900)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-0.0024315695</v>
      </c>
      <c r="G1459" t="n">
        <v>0.507578537654687</v>
      </c>
      <c r="H1459" t="n">
        <v>0.0310984333828744</v>
      </c>
      <c r="I1459" t="n">
        <v>0.0511398355249434</v>
      </c>
      <c r="J1459" t="n">
        <v>0.0022090434092462</v>
      </c>
      <c r="K1459" t="n">
        <v>0.8444388292145683</v>
      </c>
      <c r="L1459" t="b">
        <v>0</v>
      </c>
      <c r="M1459" t="b">
        <v>0</v>
      </c>
      <c r="N1459" t="inlineStr">
        <is>
          <t>ref</t>
        </is>
      </c>
      <c r="O1459" t="n">
        <v>65</v>
      </c>
      <c r="P1459" t="n">
        <v>0.2546</v>
      </c>
      <c r="Q1459" t="n">
        <v>100</v>
      </c>
      <c r="R1459" t="n">
        <v>0.1181</v>
      </c>
      <c r="S1459">
        <f>IMAGE("https://mitra.stanford.edu/kundaje/oak/projects/neuro-variants/variant_position/credible/roussos_2024/variant_figures/roussos_2024.infant.GLU/rs7196496_count_position.png",4,220,900)</f>
        <v/>
      </c>
      <c r="T1459">
        <f>IMAGE("https://mitra.stanford.edu/kundaje/oak/projects/neuro-variants/variant_position/credible/roussos_2024/variant_figures/roussos_2024.infant.GLU/rs7196496_profile_position.png",4,220,900)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-0.0185161531</v>
      </c>
      <c r="G1460" t="n">
        <v>0.4814035406273028</v>
      </c>
      <c r="H1460" t="n">
        <v>0.0074363526062363</v>
      </c>
      <c r="I1460" t="n">
        <v>0.9402337023502908</v>
      </c>
      <c r="J1460" t="n">
        <v>0.1541138473070393</v>
      </c>
      <c r="K1460" t="n">
        <v>0.1457778796734089</v>
      </c>
      <c r="L1460" t="b">
        <v>0</v>
      </c>
      <c r="M1460" t="b">
        <v>0</v>
      </c>
      <c r="N1460" t="inlineStr">
        <is>
          <t>ref</t>
        </is>
      </c>
      <c r="O1460" t="n">
        <v>-100</v>
      </c>
      <c r="P1460" t="n">
        <v>0.165</v>
      </c>
      <c r="Q1460" t="n">
        <v>-100</v>
      </c>
      <c r="R1460" t="n">
        <v>0.11523</v>
      </c>
      <c r="S1460">
        <f>IMAGE("https://mitra.stanford.edu/kundaje/oak/projects/neuro-variants/variant_position/credible/roussos_2024/variant_figures/roussos_2024.infant.GLU/rs11862377_count_position.png",4,220,900)</f>
        <v/>
      </c>
      <c r="T1460">
        <f>IMAGE("https://mitra.stanford.edu/kundaje/oak/projects/neuro-variants/variant_position/credible/roussos_2024/variant_figures/roussos_2024.infant.GLU/rs11862377_profile_position.png",4,220,900)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-0.02445287244</v>
      </c>
      <c r="G1461" t="n">
        <v>0.4075661236754448</v>
      </c>
      <c r="H1461" t="n">
        <v>0.007190270695151</v>
      </c>
      <c r="I1461" t="n">
        <v>0.952840777671021</v>
      </c>
      <c r="J1461" t="n">
        <v>0.0278324037126038</v>
      </c>
      <c r="K1461" t="n">
        <v>0.4746129958036525</v>
      </c>
      <c r="L1461" t="b">
        <v>0</v>
      </c>
      <c r="M1461" t="b">
        <v>0</v>
      </c>
      <c r="N1461" t="inlineStr">
        <is>
          <t>ref</t>
        </is>
      </c>
      <c r="O1461" t="n">
        <v>100</v>
      </c>
      <c r="P1461" t="n">
        <v>0.07580000000000001</v>
      </c>
      <c r="Q1461" t="n">
        <v>25</v>
      </c>
      <c r="R1461" t="n">
        <v>0.03836</v>
      </c>
      <c r="S1461">
        <f>IMAGE("https://mitra.stanford.edu/kundaje/oak/projects/neuro-variants/variant_position/credible/roussos_2024/variant_figures/roussos_2024.infant.GLU/rs13329803_count_position.png",4,220,900)</f>
        <v/>
      </c>
      <c r="T1461">
        <f>IMAGE("https://mitra.stanford.edu/kundaje/oak/projects/neuro-variants/variant_position/credible/roussos_2024/variant_figures/roussos_2024.infant.GLU/rs13329803_profile_position.png",4,220,900)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0.0045677020999999</v>
      </c>
      <c r="G1462" t="n">
        <v>0.779265549186352</v>
      </c>
      <c r="H1462" t="n">
        <v>0.0282623340805506</v>
      </c>
      <c r="I1462" t="n">
        <v>0.07005191462990561</v>
      </c>
      <c r="J1462" t="n">
        <v>0.7938832425758945</v>
      </c>
      <c r="K1462" t="n">
        <v>0.0086060630458614</v>
      </c>
      <c r="L1462" t="b">
        <v>0</v>
      </c>
      <c r="M1462" t="b">
        <v>0</v>
      </c>
      <c r="N1462" t="inlineStr">
        <is>
          <t>alt</t>
        </is>
      </c>
      <c r="O1462" t="n">
        <v>-90</v>
      </c>
      <c r="P1462" t="n">
        <v>0.005005</v>
      </c>
      <c r="Q1462" t="n">
        <v>5</v>
      </c>
      <c r="R1462" t="n">
        <v>0.013794</v>
      </c>
      <c r="S1462">
        <f>IMAGE("https://mitra.stanford.edu/kundaje/oak/projects/neuro-variants/variant_position/credible/roussos_2024/variant_figures/roussos_2024.infant.GLU/rs9929143_count_position.png",4,220,900)</f>
        <v/>
      </c>
      <c r="T1462">
        <f>IMAGE("https://mitra.stanford.edu/kundaje/oak/projects/neuro-variants/variant_position/credible/roussos_2024/variant_figures/roussos_2024.infant.GLU/rs9929143_profile_position.png",4,220,900)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-0.0385480968</v>
      </c>
      <c r="G1463" t="n">
        <v>0.2409481930166785</v>
      </c>
      <c r="H1463" t="n">
        <v>0.07612107592009409</v>
      </c>
      <c r="I1463" t="n">
        <v>0.0008589914148529</v>
      </c>
      <c r="J1463" t="n">
        <v>0.0267818955444343</v>
      </c>
      <c r="K1463" t="n">
        <v>0.4789118049334121</v>
      </c>
      <c r="L1463" t="b">
        <v>1</v>
      </c>
      <c r="M1463" t="b">
        <v>0</v>
      </c>
      <c r="N1463" t="inlineStr">
        <is>
          <t>ref</t>
        </is>
      </c>
      <c r="O1463" t="n">
        <v>20</v>
      </c>
      <c r="P1463" t="n">
        <v>0.00296</v>
      </c>
      <c r="Q1463" t="n">
        <v>85</v>
      </c>
      <c r="R1463" t="n">
        <v>0.02429</v>
      </c>
      <c r="S1463">
        <f>IMAGE("https://mitra.stanford.edu/kundaje/oak/projects/neuro-variants/variant_position/credible/roussos_2024/variant_figures/roussos_2024.infant.GLU/rs75228693_count_position.png",4,220,900)</f>
        <v/>
      </c>
      <c r="T1463">
        <f>IMAGE("https://mitra.stanford.edu/kundaje/oak/projects/neuro-variants/variant_position/credible/roussos_2024/variant_figures/roussos_2024.infant.GLU/rs75228693_profile_position.png",4,220,900)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-0.116756046</v>
      </c>
      <c r="G1464" t="n">
        <v>0.0383935107982158</v>
      </c>
      <c r="H1464" t="n">
        <v>0.021193634469105</v>
      </c>
      <c r="I1464" t="n">
        <v>0.1621428819831792</v>
      </c>
      <c r="J1464" t="n">
        <v>0.0265636367644789</v>
      </c>
      <c r="K1464" t="n">
        <v>0.4935773050685231</v>
      </c>
      <c r="L1464" t="b">
        <v>0</v>
      </c>
      <c r="M1464" t="b">
        <v>0</v>
      </c>
      <c r="N1464" t="inlineStr">
        <is>
          <t>ref</t>
        </is>
      </c>
      <c r="O1464" t="n">
        <v>10</v>
      </c>
      <c r="P1464" t="n">
        <v>0.001221</v>
      </c>
      <c r="Q1464" t="n">
        <v>-25</v>
      </c>
      <c r="R1464" t="n">
        <v>0.002686</v>
      </c>
      <c r="S1464">
        <f>IMAGE("https://mitra.stanford.edu/kundaje/oak/projects/neuro-variants/variant_position/credible/roussos_2024/variant_figures/roussos_2024.infant.GLU/rs16957058_count_position.png",4,220,900)</f>
        <v/>
      </c>
      <c r="T1464">
        <f>IMAGE("https://mitra.stanford.edu/kundaje/oak/projects/neuro-variants/variant_position/credible/roussos_2024/variant_figures/roussos_2024.infant.GLU/rs16957058_profile_position.png",4,220,900)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0.2891236339999999</v>
      </c>
      <c r="G1465" t="n">
        <v>0.0040722062911872</v>
      </c>
      <c r="H1465" t="n">
        <v>0.037691300496209</v>
      </c>
      <c r="I1465" t="n">
        <v>0.0268175391917145</v>
      </c>
      <c r="J1465" t="n">
        <v>0.0474371128111289</v>
      </c>
      <c r="K1465" t="n">
        <v>0.3748960562528491</v>
      </c>
      <c r="L1465" t="b">
        <v>1</v>
      </c>
      <c r="M1465" t="b">
        <v>1</v>
      </c>
      <c r="N1465" t="inlineStr">
        <is>
          <t>alt</t>
        </is>
      </c>
      <c r="O1465" t="n">
        <v>100</v>
      </c>
      <c r="P1465" t="n">
        <v>0.05438</v>
      </c>
      <c r="Q1465" t="n">
        <v>70</v>
      </c>
      <c r="R1465" t="n">
        <v>0.05225</v>
      </c>
      <c r="S1465">
        <f>IMAGE("https://mitra.stanford.edu/kundaje/oak/projects/neuro-variants/variant_position/credible/roussos_2024/variant_figures/roussos_2024.infant.GLU/rs3026093_count_position.png",4,220,900)</f>
        <v/>
      </c>
      <c r="T1465">
        <f>IMAGE("https://mitra.stanford.edu/kundaje/oak/projects/neuro-variants/variant_position/credible/roussos_2024/variant_figures/roussos_2024.infant.GLU/rs3026093_profile_position.png",4,220,900)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-0.0263142618</v>
      </c>
      <c r="G1466" t="n">
        <v>0.3603389635768805</v>
      </c>
      <c r="H1466" t="n">
        <v>0.0567922950903013</v>
      </c>
      <c r="I1466" t="n">
        <v>0.0040723575649596</v>
      </c>
      <c r="J1466" t="n">
        <v>0.0177902952005114</v>
      </c>
      <c r="K1466" t="n">
        <v>0.5560145539088402</v>
      </c>
      <c r="L1466" t="b">
        <v>1</v>
      </c>
      <c r="M1466" t="b">
        <v>0</v>
      </c>
      <c r="N1466" t="inlineStr">
        <is>
          <t>ref</t>
        </is>
      </c>
      <c r="O1466" t="n">
        <v>-75</v>
      </c>
      <c r="P1466" t="n">
        <v>0.06866</v>
      </c>
      <c r="Q1466" t="n">
        <v>-50</v>
      </c>
      <c r="R1466" t="n">
        <v>0.0945</v>
      </c>
      <c r="S1466">
        <f>IMAGE("https://mitra.stanford.edu/kundaje/oak/projects/neuro-variants/variant_position/credible/roussos_2024/variant_figures/roussos_2024.infant.GLU/rs9932517_count_position.png",4,220,900)</f>
        <v/>
      </c>
      <c r="T1466">
        <f>IMAGE("https://mitra.stanford.edu/kundaje/oak/projects/neuro-variants/variant_position/credible/roussos_2024/variant_figures/roussos_2024.infant.GLU/rs9932517_profile_position.png",4,220,900)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-0.07438607</v>
      </c>
      <c r="G1467" t="n">
        <v>0.0911366651231794</v>
      </c>
      <c r="H1467" t="n">
        <v>0.0170479697902066</v>
      </c>
      <c r="I1467" t="n">
        <v>0.2730073516305333</v>
      </c>
      <c r="J1467" t="n">
        <v>0.1021770762142022</v>
      </c>
      <c r="K1467" t="n">
        <v>0.2123386187370977</v>
      </c>
      <c r="L1467" t="b">
        <v>0</v>
      </c>
      <c r="M1467" t="b">
        <v>0</v>
      </c>
      <c r="N1467" t="inlineStr">
        <is>
          <t>ref</t>
        </is>
      </c>
      <c r="O1467" t="n">
        <v>-10</v>
      </c>
      <c r="P1467" t="n">
        <v>0.02997</v>
      </c>
      <c r="Q1467" t="n">
        <v>-30</v>
      </c>
      <c r="R1467" t="n">
        <v>0.0658</v>
      </c>
      <c r="S1467">
        <f>IMAGE("https://mitra.stanford.edu/kundaje/oak/projects/neuro-variants/variant_position/credible/roussos_2024/variant_figures/roussos_2024.infant.GLU/rs11861556_count_position.png",4,220,900)</f>
        <v/>
      </c>
      <c r="T1467">
        <f>IMAGE("https://mitra.stanford.edu/kundaje/oak/projects/neuro-variants/variant_position/credible/roussos_2024/variant_figures/roussos_2024.infant.GLU/rs11861556_profile_position.png",4,220,900)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-0.0594434018</v>
      </c>
      <c r="G1468" t="n">
        <v>0.1292024834285742</v>
      </c>
      <c r="H1468" t="n">
        <v>0.008921795295472001</v>
      </c>
      <c r="I1468" t="n">
        <v>0.8374820826716963</v>
      </c>
      <c r="J1468" t="n">
        <v>0.1206596265349764</v>
      </c>
      <c r="K1468" t="n">
        <v>0.1799608417419147</v>
      </c>
      <c r="L1468" t="b">
        <v>0</v>
      </c>
      <c r="M1468" t="b">
        <v>0</v>
      </c>
      <c r="N1468" t="inlineStr">
        <is>
          <t>ref</t>
        </is>
      </c>
      <c r="O1468" t="n">
        <v>-95</v>
      </c>
      <c r="P1468" t="n">
        <v>0.004135</v>
      </c>
      <c r="Q1468" t="n">
        <v>-40</v>
      </c>
      <c r="R1468" t="n">
        <v>0.04034</v>
      </c>
      <c r="S1468">
        <f>IMAGE("https://mitra.stanford.edu/kundaje/oak/projects/neuro-variants/variant_position/credible/roussos_2024/variant_figures/roussos_2024.infant.GLU/rs28442574_count_position.png",4,220,900)</f>
        <v/>
      </c>
      <c r="T1468">
        <f>IMAGE("https://mitra.stanford.edu/kundaje/oak/projects/neuro-variants/variant_position/credible/roussos_2024/variant_figures/roussos_2024.infant.GLU/rs28442574_profile_position.png",4,220,900)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0.0182654675231999</v>
      </c>
      <c r="G1469" t="n">
        <v>0.4762418180943389</v>
      </c>
      <c r="H1469" t="n">
        <v>0.0104878557383571</v>
      </c>
      <c r="I1469" t="n">
        <v>0.6894803323316241</v>
      </c>
      <c r="J1469" t="n">
        <v>0.09874005158843881</v>
      </c>
      <c r="K1469" t="n">
        <v>0.2130161870033393</v>
      </c>
      <c r="L1469" t="b">
        <v>0</v>
      </c>
      <c r="M1469" t="b">
        <v>0</v>
      </c>
      <c r="N1469" t="inlineStr">
        <is>
          <t>alt</t>
        </is>
      </c>
      <c r="O1469" t="n">
        <v>100</v>
      </c>
      <c r="P1469" t="n">
        <v>0.01499</v>
      </c>
      <c r="Q1469" t="n">
        <v>50</v>
      </c>
      <c r="R1469" t="n">
        <v>0.01978</v>
      </c>
      <c r="S1469">
        <f>IMAGE("https://mitra.stanford.edu/kundaje/oak/projects/neuro-variants/variant_position/credible/roussos_2024/variant_figures/roussos_2024.infant.GLU/rs73586830_count_position.png",4,220,900)</f>
        <v/>
      </c>
      <c r="T1469">
        <f>IMAGE("https://mitra.stanford.edu/kundaje/oak/projects/neuro-variants/variant_position/credible/roussos_2024/variant_figures/roussos_2024.infant.GLU/rs73586830_profile_position.png",4,220,900)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-0.164092332</v>
      </c>
      <c r="G1470" t="n">
        <v>0.0191159077225405</v>
      </c>
      <c r="H1470" t="n">
        <v>0.0388220620582486</v>
      </c>
      <c r="I1470" t="n">
        <v>0.0233203828058245</v>
      </c>
      <c r="J1470" t="n">
        <v>0.2673890517868559</v>
      </c>
      <c r="K1470" t="n">
        <v>0.0799185096946369</v>
      </c>
      <c r="L1470" t="b">
        <v>1</v>
      </c>
      <c r="M1470" t="b">
        <v>0</v>
      </c>
      <c r="N1470" t="inlineStr">
        <is>
          <t>ref</t>
        </is>
      </c>
      <c r="O1470" t="n">
        <v>-100</v>
      </c>
      <c r="P1470" t="n">
        <v>0.05212</v>
      </c>
      <c r="Q1470" t="n">
        <v>-95</v>
      </c>
      <c r="R1470" t="n">
        <v>0.08309999999999999</v>
      </c>
      <c r="S1470">
        <f>IMAGE("https://mitra.stanford.edu/kundaje/oak/projects/neuro-variants/variant_position/credible/roussos_2024/variant_figures/roussos_2024.infant.GLU/rs59454517_count_position.png",4,220,900)</f>
        <v/>
      </c>
      <c r="T1470">
        <f>IMAGE("https://mitra.stanford.edu/kundaje/oak/projects/neuro-variants/variant_position/credible/roussos_2024/variant_figures/roussos_2024.infant.GLU/rs59454517_profile_position.png",4,220,900)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-0.00413403338</v>
      </c>
      <c r="G1471" t="n">
        <v>0.807949472541468</v>
      </c>
      <c r="H1471" t="n">
        <v>0.010344447425341</v>
      </c>
      <c r="I1471" t="n">
        <v>0.7080924755503326</v>
      </c>
      <c r="J1471" t="n">
        <v>0.0205449855596463</v>
      </c>
      <c r="K1471" t="n">
        <v>0.5340598126646761</v>
      </c>
      <c r="L1471" t="b">
        <v>0</v>
      </c>
      <c r="M1471" t="b">
        <v>0</v>
      </c>
      <c r="N1471" t="inlineStr">
        <is>
          <t>ref</t>
        </is>
      </c>
      <c r="O1471" t="n">
        <v>85</v>
      </c>
      <c r="P1471" t="n">
        <v>0.01203</v>
      </c>
      <c r="Q1471" t="n">
        <v>-35</v>
      </c>
      <c r="R1471" t="n">
        <v>0.02478</v>
      </c>
      <c r="S1471">
        <f>IMAGE("https://mitra.stanford.edu/kundaje/oak/projects/neuro-variants/variant_position/credible/roussos_2024/variant_figures/roussos_2024.infant.GLU/rs17767961_count_position.png",4,220,900)</f>
        <v/>
      </c>
      <c r="T1471">
        <f>IMAGE("https://mitra.stanford.edu/kundaje/oak/projects/neuro-variants/variant_position/credible/roussos_2024/variant_figures/roussos_2024.infant.GLU/rs17767961_profile_position.png",4,220,900)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-0.0313465324</v>
      </c>
      <c r="G1472" t="n">
        <v>0.3198075179742327</v>
      </c>
      <c r="H1472" t="n">
        <v>0.0456579642838864</v>
      </c>
      <c r="I1472" t="n">
        <v>0.0115280243263315</v>
      </c>
      <c r="J1472" t="n">
        <v>0.0457869441566171</v>
      </c>
      <c r="K1472" t="n">
        <v>0.3578902467580918</v>
      </c>
      <c r="L1472" t="b">
        <v>1</v>
      </c>
      <c r="M1472" t="b">
        <v>0</v>
      </c>
      <c r="N1472" t="inlineStr">
        <is>
          <t>ref</t>
        </is>
      </c>
      <c r="O1472" t="n">
        <v>-65</v>
      </c>
      <c r="P1472" t="n">
        <v>0.01843</v>
      </c>
      <c r="Q1472" t="n">
        <v>-75</v>
      </c>
      <c r="R1472" t="n">
        <v>0.07543999999999999</v>
      </c>
      <c r="S1472">
        <f>IMAGE("https://mitra.stanford.edu/kundaje/oak/projects/neuro-variants/variant_position/credible/roussos_2024/variant_figures/roussos_2024.infant.GLU/rs150710353_count_position.png",4,220,900)</f>
        <v/>
      </c>
      <c r="T1472">
        <f>IMAGE("https://mitra.stanford.edu/kundaje/oak/projects/neuro-variants/variant_position/credible/roussos_2024/variant_figures/roussos_2024.infant.GLU/rs150710353_profile_position.png",4,220,900)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-0.0071057549</v>
      </c>
      <c r="G1473" t="n">
        <v>0.408816832717739</v>
      </c>
      <c r="H1473" t="n">
        <v>0.008107292864984499</v>
      </c>
      <c r="I1473" t="n">
        <v>0.8682334704458314</v>
      </c>
      <c r="J1473" t="n">
        <v>0.0588064110760818</v>
      </c>
      <c r="K1473" t="n">
        <v>0.3437066918926286</v>
      </c>
      <c r="L1473" t="b">
        <v>0</v>
      </c>
      <c r="M1473" t="b">
        <v>0</v>
      </c>
      <c r="N1473" t="inlineStr">
        <is>
          <t>ref</t>
        </is>
      </c>
      <c r="O1473" t="n">
        <v>100</v>
      </c>
      <c r="P1473" t="n">
        <v>0.03754</v>
      </c>
      <c r="Q1473" t="n">
        <v>0</v>
      </c>
      <c r="R1473" t="n">
        <v>0</v>
      </c>
      <c r="S1473">
        <f>IMAGE("https://mitra.stanford.edu/kundaje/oak/projects/neuro-variants/variant_position/credible/roussos_2024/variant_figures/roussos_2024.infant.GLU/rs77801206_count_position.png",4,220,900)</f>
        <v/>
      </c>
      <c r="T1473">
        <f>IMAGE("https://mitra.stanford.edu/kundaje/oak/projects/neuro-variants/variant_position/credible/roussos_2024/variant_figures/roussos_2024.infant.GLU/rs77801206_profile_position.png",4,220,900)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-0.090433729</v>
      </c>
      <c r="G1474" t="n">
        <v>0.0604952351735526</v>
      </c>
      <c r="H1474" t="n">
        <v>0.0148885359167548</v>
      </c>
      <c r="I1474" t="n">
        <v>0.3645985221720644</v>
      </c>
      <c r="J1474" t="n">
        <v>0.0479155184197181</v>
      </c>
      <c r="K1474" t="n">
        <v>0.3481859418123147</v>
      </c>
      <c r="L1474" t="b">
        <v>0</v>
      </c>
      <c r="M1474" t="b">
        <v>0</v>
      </c>
      <c r="N1474" t="inlineStr">
        <is>
          <t>ref</t>
        </is>
      </c>
      <c r="O1474" t="n">
        <v>55</v>
      </c>
      <c r="P1474" t="n">
        <v>0.005493</v>
      </c>
      <c r="Q1474" t="n">
        <v>-60</v>
      </c>
      <c r="R1474" t="n">
        <v>0.05298</v>
      </c>
      <c r="S1474">
        <f>IMAGE("https://mitra.stanford.edu/kundaje/oak/projects/neuro-variants/variant_position/credible/roussos_2024/variant_figures/roussos_2024.infant.GLU/rs148571332_count_position.png",4,220,900)</f>
        <v/>
      </c>
      <c r="T1474">
        <f>IMAGE("https://mitra.stanford.edu/kundaje/oak/projects/neuro-variants/variant_position/credible/roussos_2024/variant_figures/roussos_2024.infant.GLU/rs148571332_profile_position.png",4,220,900)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0.0141537277999999</v>
      </c>
      <c r="G1475" t="n">
        <v>0.231258085923422</v>
      </c>
      <c r="H1475" t="n">
        <v>0.0179084816765131</v>
      </c>
      <c r="I1475" t="n">
        <v>0.2437574825168992</v>
      </c>
      <c r="J1475" t="n">
        <v>0.1606175180228841</v>
      </c>
      <c r="K1475" t="n">
        <v>0.1380835226779274</v>
      </c>
      <c r="L1475" t="b">
        <v>0</v>
      </c>
      <c r="M1475" t="b">
        <v>0</v>
      </c>
      <c r="N1475" t="inlineStr">
        <is>
          <t>alt</t>
        </is>
      </c>
      <c r="O1475" t="n">
        <v>-15</v>
      </c>
      <c r="P1475" t="n">
        <v>0.00232</v>
      </c>
      <c r="Q1475" t="n">
        <v>-15</v>
      </c>
      <c r="R1475" t="n">
        <v>0.0105</v>
      </c>
      <c r="S1475">
        <f>IMAGE("https://mitra.stanford.edu/kundaje/oak/projects/neuro-variants/variant_position/credible/roussos_2024/variant_figures/roussos_2024.infant.GLU/rs8047207_count_position.png",4,220,900)</f>
        <v/>
      </c>
      <c r="T1475">
        <f>IMAGE("https://mitra.stanford.edu/kundaje/oak/projects/neuro-variants/variant_position/credible/roussos_2024/variant_figures/roussos_2024.infant.GLU/rs8047207_profile_position.png",4,220,900)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-0.01117637912</v>
      </c>
      <c r="G1476" t="n">
        <v>0.6189629804621651</v>
      </c>
      <c r="H1476" t="n">
        <v>0.0075415547112671</v>
      </c>
      <c r="I1476" t="n">
        <v>0.920488468318944</v>
      </c>
      <c r="J1476" t="n">
        <v>0.013644480698428</v>
      </c>
      <c r="K1476" t="n">
        <v>0.6141093412887642</v>
      </c>
      <c r="L1476" t="b">
        <v>0</v>
      </c>
      <c r="M1476" t="b">
        <v>0</v>
      </c>
      <c r="N1476" t="inlineStr">
        <is>
          <t>ref</t>
        </is>
      </c>
      <c r="O1476" t="n">
        <v>-95</v>
      </c>
      <c r="P1476" t="n">
        <v>0.01205</v>
      </c>
      <c r="Q1476" t="n">
        <v>-100</v>
      </c>
      <c r="R1476" t="n">
        <v>0.1609</v>
      </c>
      <c r="S1476">
        <f>IMAGE("https://mitra.stanford.edu/kundaje/oak/projects/neuro-variants/variant_position/credible/roussos_2024/variant_figures/roussos_2024.infant.GLU/rs76171566_count_position.png",4,220,900)</f>
        <v/>
      </c>
      <c r="T1476">
        <f>IMAGE("https://mitra.stanford.edu/kundaje/oak/projects/neuro-variants/variant_position/credible/roussos_2024/variant_figures/roussos_2024.infant.GLU/rs76171566_profile_position.png",4,220,900)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-0.00190167926</v>
      </c>
      <c r="G1477" t="n">
        <v>0.7297440957642078</v>
      </c>
      <c r="H1477" t="n">
        <v>0.0288398773587779</v>
      </c>
      <c r="I1477" t="n">
        <v>0.0654731998317413</v>
      </c>
      <c r="J1477" t="n">
        <v>0.0095207125377543</v>
      </c>
      <c r="K1477" t="n">
        <v>0.6720430264195303</v>
      </c>
      <c r="L1477" t="b">
        <v>0</v>
      </c>
      <c r="M1477" t="b">
        <v>0</v>
      </c>
      <c r="N1477" t="inlineStr">
        <is>
          <t>ref</t>
        </is>
      </c>
      <c r="O1477" t="n">
        <v>15</v>
      </c>
      <c r="P1477" t="n">
        <v>0.005512</v>
      </c>
      <c r="Q1477" t="n">
        <v>-100</v>
      </c>
      <c r="R1477" t="n">
        <v>0.0626</v>
      </c>
      <c r="S1477">
        <f>IMAGE("https://mitra.stanford.edu/kundaje/oak/projects/neuro-variants/variant_position/credible/roussos_2024/variant_figures/roussos_2024.infant.GLU/rs78587942_count_position.png",4,220,900)</f>
        <v/>
      </c>
      <c r="T1477">
        <f>IMAGE("https://mitra.stanford.edu/kundaje/oak/projects/neuro-variants/variant_position/credible/roussos_2024/variant_figures/roussos_2024.infant.GLU/rs78587942_profile_position.png",4,220,900)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-0.1200703891999999</v>
      </c>
      <c r="G1478" t="n">
        <v>0.0414789272676745</v>
      </c>
      <c r="H1478" t="n">
        <v>0.0203683459486075</v>
      </c>
      <c r="I1478" t="n">
        <v>0.1798631006583061</v>
      </c>
      <c r="J1478" t="n">
        <v>0.1079940033951365</v>
      </c>
      <c r="K1478" t="n">
        <v>0.1934250621835931</v>
      </c>
      <c r="L1478" t="b">
        <v>0</v>
      </c>
      <c r="M1478" t="b">
        <v>0</v>
      </c>
      <c r="N1478" t="inlineStr">
        <is>
          <t>ref</t>
        </is>
      </c>
      <c r="O1478" t="n">
        <v>35</v>
      </c>
      <c r="P1478" t="n">
        <v>0.0008755</v>
      </c>
      <c r="Q1478" t="n">
        <v>5</v>
      </c>
      <c r="R1478" t="n">
        <v>0.00415</v>
      </c>
      <c r="S1478">
        <f>IMAGE("https://mitra.stanford.edu/kundaje/oak/projects/neuro-variants/variant_position/credible/roussos_2024/variant_figures/roussos_2024.infant.GLU/rs2290699_count_position.png",4,220,900)</f>
        <v/>
      </c>
      <c r="T1478">
        <f>IMAGE("https://mitra.stanford.edu/kundaje/oak/projects/neuro-variants/variant_position/credible/roussos_2024/variant_figures/roussos_2024.infant.GLU/rs2290699_profile_position.png",4,220,900)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0.009679665626000001</v>
      </c>
      <c r="G1479" t="n">
        <v>0.6533496591031632</v>
      </c>
      <c r="H1479" t="n">
        <v>0.0105268549953957</v>
      </c>
      <c r="I1479" t="n">
        <v>0.6743254318985897</v>
      </c>
      <c r="J1479" t="n">
        <v>0.4189785930024913</v>
      </c>
      <c r="K1479" t="n">
        <v>0.0417849366998286</v>
      </c>
      <c r="L1479" t="b">
        <v>0</v>
      </c>
      <c r="M1479" t="b">
        <v>0</v>
      </c>
      <c r="N1479" t="inlineStr">
        <is>
          <t>alt</t>
        </is>
      </c>
      <c r="O1479" t="n">
        <v>75</v>
      </c>
      <c r="P1479" t="n">
        <v>0.006588</v>
      </c>
      <c r="Q1479" t="n">
        <v>45</v>
      </c>
      <c r="R1479" t="n">
        <v>0.07495</v>
      </c>
      <c r="S1479">
        <f>IMAGE("https://mitra.stanford.edu/kundaje/oak/projects/neuro-variants/variant_position/credible/roussos_2024/variant_figures/roussos_2024.infant.GLU/rs116580887_count_position.png",4,220,900)</f>
        <v/>
      </c>
      <c r="T1479">
        <f>IMAGE("https://mitra.stanford.edu/kundaje/oak/projects/neuro-variants/variant_position/credible/roussos_2024/variant_figures/roussos_2024.infant.GLU/rs116580887_profile_position.png",4,220,900)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0.0013045021199999</v>
      </c>
      <c r="G1480" t="n">
        <v>0.7213877231379858</v>
      </c>
      <c r="H1480" t="n">
        <v>0.0120844627761147</v>
      </c>
      <c r="I1480" t="n">
        <v>0.5529428892170412</v>
      </c>
      <c r="J1480" t="n">
        <v>0.0436638814788685</v>
      </c>
      <c r="K1480" t="n">
        <v>0.3704048710799891</v>
      </c>
      <c r="L1480" t="b">
        <v>0</v>
      </c>
      <c r="M1480" t="b">
        <v>0</v>
      </c>
      <c r="N1480" t="inlineStr">
        <is>
          <t>alt</t>
        </is>
      </c>
      <c r="O1480" t="n">
        <v>5</v>
      </c>
      <c r="P1480" t="n">
        <v>0.0007706</v>
      </c>
      <c r="Q1480" t="n">
        <v>-100</v>
      </c>
      <c r="R1480" t="n">
        <v>0.09320000000000001</v>
      </c>
      <c r="S1480">
        <f>IMAGE("https://mitra.stanford.edu/kundaje/oak/projects/neuro-variants/variant_position/credible/roussos_2024/variant_figures/roussos_2024.infant.GLU/rs78805615_count_position.png",4,220,900)</f>
        <v/>
      </c>
      <c r="T1480">
        <f>IMAGE("https://mitra.stanford.edu/kundaje/oak/projects/neuro-variants/variant_position/credible/roussos_2024/variant_figures/roussos_2024.infant.GLU/rs78805615_profile_position.png",4,220,900)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-0.0529575382</v>
      </c>
      <c r="G1481" t="n">
        <v>0.1544165641036717</v>
      </c>
      <c r="H1481" t="n">
        <v>0.009793649502726799</v>
      </c>
      <c r="I1481" t="n">
        <v>0.7615952073854408</v>
      </c>
      <c r="J1481" t="n">
        <v>0.0508146123150862</v>
      </c>
      <c r="K1481" t="n">
        <v>0.3578212720289819</v>
      </c>
      <c r="L1481" t="b">
        <v>0</v>
      </c>
      <c r="M1481" t="b">
        <v>0</v>
      </c>
      <c r="N1481" t="inlineStr">
        <is>
          <t>ref</t>
        </is>
      </c>
      <c r="O1481" t="n">
        <v>-25</v>
      </c>
      <c r="P1481" t="n">
        <v>0.003021</v>
      </c>
      <c r="Q1481" t="n">
        <v>55</v>
      </c>
      <c r="R1481" t="n">
        <v>0.05096</v>
      </c>
      <c r="S1481">
        <f>IMAGE("https://mitra.stanford.edu/kundaje/oak/projects/neuro-variants/variant_position/credible/roussos_2024/variant_figures/roussos_2024.infant.GLU/rs12925938_count_position.png",4,220,900)</f>
        <v/>
      </c>
      <c r="T1481">
        <f>IMAGE("https://mitra.stanford.edu/kundaje/oak/projects/neuro-variants/variant_position/credible/roussos_2024/variant_figures/roussos_2024.infant.GLU/rs12925938_profile_position.png",4,220,900)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0.0025295431</v>
      </c>
      <c r="G1482" t="n">
        <v>0.7562899259202853</v>
      </c>
      <c r="H1482" t="n">
        <v>0.0116305610855838</v>
      </c>
      <c r="I1482" t="n">
        <v>0.5864206087610289</v>
      </c>
      <c r="J1482" t="n">
        <v>0.342953989285478</v>
      </c>
      <c r="K1482" t="n">
        <v>0.0577051554870828</v>
      </c>
      <c r="L1482" t="b">
        <v>0</v>
      </c>
      <c r="M1482" t="b">
        <v>0</v>
      </c>
      <c r="N1482" t="inlineStr">
        <is>
          <t>alt</t>
        </is>
      </c>
      <c r="O1482" t="n">
        <v>100</v>
      </c>
      <c r="P1482" t="n">
        <v>0.001924</v>
      </c>
      <c r="Q1482" t="n">
        <v>-30</v>
      </c>
      <c r="R1482" t="n">
        <v>0.003265</v>
      </c>
      <c r="S1482">
        <f>IMAGE("https://mitra.stanford.edu/kundaje/oak/projects/neuro-variants/variant_position/credible/roussos_2024/variant_figures/roussos_2024.infant.GLU/rs71395853_count_position.png",4,220,900)</f>
        <v/>
      </c>
      <c r="T1482">
        <f>IMAGE("https://mitra.stanford.edu/kundaje/oak/projects/neuro-variants/variant_position/credible/roussos_2024/variant_figures/roussos_2024.infant.GLU/rs71395853_profile_position.png",4,220,900)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0.139191382</v>
      </c>
      <c r="G1483" t="n">
        <v>0.0243544279775571</v>
      </c>
      <c r="H1483" t="n">
        <v>0.0411561815721785</v>
      </c>
      <c r="I1483" t="n">
        <v>0.0180401209191643</v>
      </c>
      <c r="J1483" t="n">
        <v>0.7924425141647744</v>
      </c>
      <c r="K1483" t="n">
        <v>0.0086567616782048</v>
      </c>
      <c r="L1483" t="b">
        <v>1</v>
      </c>
      <c r="M1483" t="b">
        <v>0</v>
      </c>
      <c r="N1483" t="inlineStr">
        <is>
          <t>alt</t>
        </is>
      </c>
      <c r="O1483" t="n">
        <v>-95</v>
      </c>
      <c r="P1483" t="n">
        <v>0.04785</v>
      </c>
      <c r="Q1483" t="n">
        <v>-95</v>
      </c>
      <c r="R1483" t="n">
        <v>0.4531</v>
      </c>
      <c r="S1483">
        <f>IMAGE("https://mitra.stanford.edu/kundaje/oak/projects/neuro-variants/variant_position/credible/roussos_2024/variant_figures/roussos_2024.infant.GLU/rs11862968_count_position.png",4,220,900)</f>
        <v/>
      </c>
      <c r="T1483">
        <f>IMAGE("https://mitra.stanford.edu/kundaje/oak/projects/neuro-variants/variant_position/credible/roussos_2024/variant_figures/roussos_2024.infant.GLU/rs11862968_profile_position.png",4,220,900)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-0.0172620988</v>
      </c>
      <c r="G1484" t="n">
        <v>0.4972482323921452</v>
      </c>
      <c r="H1484" t="n">
        <v>0.0122918849346559</v>
      </c>
      <c r="I1484" t="n">
        <v>0.5382463832109045</v>
      </c>
      <c r="J1484" t="n">
        <v>0.0033367137723494</v>
      </c>
      <c r="K1484" t="n">
        <v>0.8172447562429045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0.006653</v>
      </c>
      <c r="Q1484" t="n">
        <v>85</v>
      </c>
      <c r="R1484" t="n">
        <v>0.02568</v>
      </c>
      <c r="S1484">
        <f>IMAGE("https://mitra.stanford.edu/kundaje/oak/projects/neuro-variants/variant_position/credible/roussos_2024/variant_figures/roussos_2024.infant.GLU/rs34669336_count_position.png",4,220,900)</f>
        <v/>
      </c>
      <c r="T1484">
        <f>IMAGE("https://mitra.stanford.edu/kundaje/oak/projects/neuro-variants/variant_position/credible/roussos_2024/variant_figures/roussos_2024.infant.GLU/rs34669336_profile_position.png",4,220,900)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0.016788935489</v>
      </c>
      <c r="G1485" t="n">
        <v>0.4948049904818513</v>
      </c>
      <c r="H1485" t="n">
        <v>0.07972836534035931</v>
      </c>
      <c r="I1485" t="n">
        <v>0.0006635356223486</v>
      </c>
      <c r="J1485" t="n">
        <v>0.0272250270067681</v>
      </c>
      <c r="K1485" t="n">
        <v>0.4716004619515969</v>
      </c>
      <c r="L1485" t="b">
        <v>1</v>
      </c>
      <c r="M1485" t="b">
        <v>0</v>
      </c>
      <c r="N1485" t="inlineStr">
        <is>
          <t>alt</t>
        </is>
      </c>
      <c r="O1485" t="n">
        <v>0</v>
      </c>
      <c r="P1485" t="n">
        <v>0</v>
      </c>
      <c r="Q1485" t="n">
        <v>80</v>
      </c>
      <c r="R1485" t="n">
        <v>0.1531</v>
      </c>
      <c r="S1485">
        <f>IMAGE("https://mitra.stanford.edu/kundaje/oak/projects/neuro-variants/variant_position/credible/roussos_2024/variant_figures/roussos_2024.infant.GLU/rs11641316_count_position.png",4,220,900)</f>
        <v/>
      </c>
      <c r="T1485">
        <f>IMAGE("https://mitra.stanford.edu/kundaje/oak/projects/neuro-variants/variant_position/credible/roussos_2024/variant_figures/roussos_2024.infant.GLU/rs11641316_profile_position.png",4,220,900)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-0.00160067234</v>
      </c>
      <c r="G1486" t="n">
        <v>0.8251218086182007</v>
      </c>
      <c r="H1486" t="n">
        <v>0.0074603847409574</v>
      </c>
      <c r="I1486" t="n">
        <v>0.9387243444649984</v>
      </c>
      <c r="J1486" t="n">
        <v>0.024204678233647</v>
      </c>
      <c r="K1486" t="n">
        <v>0.4969592144977469</v>
      </c>
      <c r="L1486" t="b">
        <v>0</v>
      </c>
      <c r="M1486" t="b">
        <v>0</v>
      </c>
      <c r="N1486" t="inlineStr">
        <is>
          <t>ref</t>
        </is>
      </c>
      <c r="O1486" t="n">
        <v>-85</v>
      </c>
      <c r="P1486" t="n">
        <v>0.1543</v>
      </c>
      <c r="Q1486" t="n">
        <v>80</v>
      </c>
      <c r="R1486" t="n">
        <v>0.1383</v>
      </c>
      <c r="S1486">
        <f>IMAGE("https://mitra.stanford.edu/kundaje/oak/projects/neuro-variants/variant_position/credible/roussos_2024/variant_figures/roussos_2024.infant.GLU/rs13339524_count_position.png",4,220,900)</f>
        <v/>
      </c>
      <c r="T1486">
        <f>IMAGE("https://mitra.stanford.edu/kundaje/oak/projects/neuro-variants/variant_position/credible/roussos_2024/variant_figures/roussos_2024.infant.GLU/rs13339524_profile_position.png",4,220,900)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0.0433206238</v>
      </c>
      <c r="G1487" t="n">
        <v>0.202556464332432</v>
      </c>
      <c r="H1487" t="n">
        <v>0.009354035279312301</v>
      </c>
      <c r="I1487" t="n">
        <v>0.7790716377492123</v>
      </c>
      <c r="J1487" t="n">
        <v>0.1619788796049295</v>
      </c>
      <c r="K1487" t="n">
        <v>0.1377293498426437</v>
      </c>
      <c r="L1487" t="b">
        <v>0</v>
      </c>
      <c r="M1487" t="b">
        <v>0</v>
      </c>
      <c r="N1487" t="inlineStr">
        <is>
          <t>alt</t>
        </is>
      </c>
      <c r="O1487" t="n">
        <v>-55</v>
      </c>
      <c r="P1487" t="n">
        <v>0.01192</v>
      </c>
      <c r="Q1487" t="n">
        <v>-65</v>
      </c>
      <c r="R1487" t="n">
        <v>0.05493</v>
      </c>
      <c r="S1487">
        <f>IMAGE("https://mitra.stanford.edu/kundaje/oak/projects/neuro-variants/variant_position/credible/roussos_2024/variant_figures/roussos_2024.infant.GLU/rs2242413_count_position.png",4,220,900)</f>
        <v/>
      </c>
      <c r="T1487">
        <f>IMAGE("https://mitra.stanford.edu/kundaje/oak/projects/neuro-variants/variant_position/credible/roussos_2024/variant_figures/roussos_2024.infant.GLU/rs2242413_profile_position.png",4,220,900)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0.0286293092</v>
      </c>
      <c r="G1488" t="n">
        <v>0.326569472988432</v>
      </c>
      <c r="H1488" t="n">
        <v>0.0318907515273546</v>
      </c>
      <c r="I1488" t="n">
        <v>0.0470142887673973</v>
      </c>
      <c r="J1488" t="n">
        <v>0.0657399854494146</v>
      </c>
      <c r="K1488" t="n">
        <v>0.2824013471368137</v>
      </c>
      <c r="L1488" t="b">
        <v>0</v>
      </c>
      <c r="M1488" t="b">
        <v>0</v>
      </c>
      <c r="N1488" t="inlineStr">
        <is>
          <t>alt</t>
        </is>
      </c>
      <c r="O1488" t="n">
        <v>100</v>
      </c>
      <c r="P1488" t="n">
        <v>0.07000000000000001</v>
      </c>
      <c r="Q1488" t="n">
        <v>20</v>
      </c>
      <c r="R1488" t="n">
        <v>0.06165</v>
      </c>
      <c r="S1488">
        <f>IMAGE("https://mitra.stanford.edu/kundaje/oak/projects/neuro-variants/variant_position/credible/roussos_2024/variant_figures/roussos_2024.infant.GLU/rs9939870_count_position.png",4,220,900)</f>
        <v/>
      </c>
      <c r="T1488">
        <f>IMAGE("https://mitra.stanford.edu/kundaje/oak/projects/neuro-variants/variant_position/credible/roussos_2024/variant_figures/roussos_2024.infant.GLU/rs9939870_profile_position.png",4,220,900)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0.037803945</v>
      </c>
      <c r="G1489" t="n">
        <v>0.2446491169342866</v>
      </c>
      <c r="H1489" t="n">
        <v>0.0154757919628066</v>
      </c>
      <c r="I1489" t="n">
        <v>0.3433690364948977</v>
      </c>
      <c r="J1489" t="n">
        <v>0.0593278070504199</v>
      </c>
      <c r="K1489" t="n">
        <v>0.3273099745102955</v>
      </c>
      <c r="L1489" t="b">
        <v>0</v>
      </c>
      <c r="M1489" t="b">
        <v>0</v>
      </c>
      <c r="N1489" t="inlineStr">
        <is>
          <t>alt</t>
        </is>
      </c>
      <c r="O1489" t="n">
        <v>100</v>
      </c>
      <c r="P1489" t="n">
        <v>0.02277</v>
      </c>
      <c r="Q1489" t="n">
        <v>-100</v>
      </c>
      <c r="R1489" t="n">
        <v>0.03436</v>
      </c>
      <c r="S1489">
        <f>IMAGE("https://mitra.stanford.edu/kundaje/oak/projects/neuro-variants/variant_position/credible/roussos_2024/variant_figures/roussos_2024.infant.GLU/rs35124791_count_position.png",4,220,900)</f>
        <v/>
      </c>
      <c r="T1489">
        <f>IMAGE("https://mitra.stanford.edu/kundaje/oak/projects/neuro-variants/variant_position/credible/roussos_2024/variant_figures/roussos_2024.infant.GLU/rs35124791_profile_position.png",4,220,900)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-0.0331470172</v>
      </c>
      <c r="G1490" t="n">
        <v>0.2354394216557069</v>
      </c>
      <c r="H1490" t="n">
        <v>0.0111046585666061</v>
      </c>
      <c r="I1490" t="n">
        <v>0.5906047375620742</v>
      </c>
      <c r="J1490" t="n">
        <v>0.0996340307325998</v>
      </c>
      <c r="K1490" t="n">
        <v>0.2069221024248317</v>
      </c>
      <c r="L1490" t="b">
        <v>0</v>
      </c>
      <c r="M1490" t="b">
        <v>0</v>
      </c>
      <c r="N1490" t="inlineStr">
        <is>
          <t>ref</t>
        </is>
      </c>
      <c r="O1490" t="n">
        <v>100</v>
      </c>
      <c r="P1490" t="n">
        <v>0.0067</v>
      </c>
      <c r="Q1490" t="n">
        <v>55</v>
      </c>
      <c r="R1490" t="n">
        <v>0.03723</v>
      </c>
      <c r="S1490">
        <f>IMAGE("https://mitra.stanford.edu/kundaje/oak/projects/neuro-variants/variant_position/credible/roussos_2024/variant_figures/roussos_2024.infant.GLU/rs3785074_count_position.png",4,220,900)</f>
        <v/>
      </c>
      <c r="T1490">
        <f>IMAGE("https://mitra.stanford.edu/kundaje/oak/projects/neuro-variants/variant_position/credible/roussos_2024/variant_figures/roussos_2024.infant.GLU/rs3785074_profile_position.png",4,220,900)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-0.22425773</v>
      </c>
      <c r="G1491" t="n">
        <v>0.0075605189528244</v>
      </c>
      <c r="H1491" t="n">
        <v>0.0388303663721243</v>
      </c>
      <c r="I1491" t="n">
        <v>0.0230759663187184</v>
      </c>
      <c r="J1491" t="n">
        <v>0.0301186093167838</v>
      </c>
      <c r="K1491" t="n">
        <v>0.4896289162748089</v>
      </c>
      <c r="L1491" t="b">
        <v>1</v>
      </c>
      <c r="M1491" t="b">
        <v>1</v>
      </c>
      <c r="N1491" t="inlineStr">
        <is>
          <t>ref</t>
        </is>
      </c>
      <c r="O1491" t="n">
        <v>15</v>
      </c>
      <c r="P1491" t="n">
        <v>0.0009840000000000001</v>
      </c>
      <c r="Q1491" t="n">
        <v>80</v>
      </c>
      <c r="R1491" t="n">
        <v>0.04852</v>
      </c>
      <c r="S1491">
        <f>IMAGE("https://mitra.stanford.edu/kundaje/oak/projects/neuro-variants/variant_position/credible/roussos_2024/variant_figures/roussos_2024.infant.GLU/rs11150463_count_position.png",4,220,900)</f>
        <v/>
      </c>
      <c r="T1491">
        <f>IMAGE("https://mitra.stanford.edu/kundaje/oak/projects/neuro-variants/variant_position/credible/roussos_2024/variant_figures/roussos_2024.infant.GLU/rs11150463_profile_position.png",4,220,900)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0.2090631192</v>
      </c>
      <c r="G1492" t="n">
        <v>0.0110204819936065</v>
      </c>
      <c r="H1492" t="n">
        <v>0.0282982455724503</v>
      </c>
      <c r="I1492" t="n">
        <v>0.0779757563676968</v>
      </c>
      <c r="J1492" t="n">
        <v>0.1830651028461826</v>
      </c>
      <c r="K1492" t="n">
        <v>0.1358652582107435</v>
      </c>
      <c r="L1492" t="b">
        <v>1</v>
      </c>
      <c r="M1492" t="b">
        <v>0</v>
      </c>
      <c r="N1492" t="inlineStr">
        <is>
          <t>alt</t>
        </is>
      </c>
      <c r="O1492" t="n">
        <v>95</v>
      </c>
      <c r="P1492" t="n">
        <v>0.003777</v>
      </c>
      <c r="Q1492" t="n">
        <v>100</v>
      </c>
      <c r="R1492" t="n">
        <v>0.05884</v>
      </c>
      <c r="S1492">
        <f>IMAGE("https://mitra.stanford.edu/kundaje/oak/projects/neuro-variants/variant_position/credible/roussos_2024/variant_figures/roussos_2024.infant.GLU/rs9940266_count_position.png",4,220,900)</f>
        <v/>
      </c>
      <c r="T1492">
        <f>IMAGE("https://mitra.stanford.edu/kundaje/oak/projects/neuro-variants/variant_position/credible/roussos_2024/variant_figures/roussos_2024.infant.GLU/rs9940266_profile_position.png",4,220,900)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-0.02819850372</v>
      </c>
      <c r="G1493" t="n">
        <v>0.2629450365948457</v>
      </c>
      <c r="H1493" t="n">
        <v>0.0173691125321034</v>
      </c>
      <c r="I1493" t="n">
        <v>0.2603471800000264</v>
      </c>
      <c r="J1493" t="n">
        <v>0.2368471527150069</v>
      </c>
      <c r="K1493" t="n">
        <v>0.092287103650265</v>
      </c>
      <c r="L1493" t="b">
        <v>0</v>
      </c>
      <c r="M1493" t="b">
        <v>0</v>
      </c>
      <c r="N1493" t="inlineStr">
        <is>
          <t>ref</t>
        </is>
      </c>
      <c r="O1493" t="n">
        <v>-30</v>
      </c>
      <c r="P1493" t="n">
        <v>0.003479</v>
      </c>
      <c r="Q1493" t="n">
        <v>-20</v>
      </c>
      <c r="R1493" t="n">
        <v>0.01318</v>
      </c>
      <c r="S1493">
        <f>IMAGE("https://mitra.stanford.edu/kundaje/oak/projects/neuro-variants/variant_position/credible/roussos_2024/variant_figures/roussos_2024.infant.GLU/rs4782721_count_position.png",4,220,900)</f>
        <v/>
      </c>
      <c r="T1493">
        <f>IMAGE("https://mitra.stanford.edu/kundaje/oak/projects/neuro-variants/variant_position/credible/roussos_2024/variant_figures/roussos_2024.infant.GLU/rs4782721_profile_position.png",4,220,900)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-0.153850942</v>
      </c>
      <c r="G1494" t="n">
        <v>0.0208734350523128</v>
      </c>
      <c r="H1494" t="n">
        <v>0.0232925298952328</v>
      </c>
      <c r="I1494" t="n">
        <v>0.1264371890358266</v>
      </c>
      <c r="J1494" t="n">
        <v>0.1787969311492757</v>
      </c>
      <c r="K1494" t="n">
        <v>0.1250084946710103</v>
      </c>
      <c r="L1494" t="b">
        <v>0</v>
      </c>
      <c r="M1494" t="b">
        <v>0</v>
      </c>
      <c r="N1494" t="inlineStr">
        <is>
          <t>ref</t>
        </is>
      </c>
      <c r="O1494" t="n">
        <v>-65</v>
      </c>
      <c r="P1494" t="n">
        <v>0.0001678</v>
      </c>
      <c r="Q1494" t="n">
        <v>25</v>
      </c>
      <c r="R1494" t="n">
        <v>0.04785</v>
      </c>
      <c r="S1494">
        <f>IMAGE("https://mitra.stanford.edu/kundaje/oak/projects/neuro-variants/variant_position/credible/roussos_2024/variant_figures/roussos_2024.infant.GLU/rs7202931_count_position.png",4,220,900)</f>
        <v/>
      </c>
      <c r="T1494">
        <f>IMAGE("https://mitra.stanford.edu/kundaje/oak/projects/neuro-variants/variant_position/credible/roussos_2024/variant_figures/roussos_2024.infant.GLU/rs7202931_profile_position.png",4,220,900)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0.0811082892</v>
      </c>
      <c r="G1495" t="n">
        <v>0.0727952632962043</v>
      </c>
      <c r="H1495" t="n">
        <v>0.0141288755847047</v>
      </c>
      <c r="I1495" t="n">
        <v>0.4078308251440838</v>
      </c>
      <c r="J1495" t="n">
        <v>0.0451068145241296</v>
      </c>
      <c r="K1495" t="n">
        <v>0.3610075671444118</v>
      </c>
      <c r="L1495" t="b">
        <v>0</v>
      </c>
      <c r="M1495" t="b">
        <v>0</v>
      </c>
      <c r="N1495" t="inlineStr">
        <is>
          <t>alt</t>
        </is>
      </c>
      <c r="O1495" t="n">
        <v>0</v>
      </c>
      <c r="P1495" t="n">
        <v>0</v>
      </c>
      <c r="Q1495" t="n">
        <v>0</v>
      </c>
      <c r="R1495" t="n">
        <v>0</v>
      </c>
      <c r="S1495">
        <f>IMAGE("https://mitra.stanford.edu/kundaje/oak/projects/neuro-variants/variant_position/credible/roussos_2024/variant_figures/roussos_2024.infant.GLU/rs12930379_count_position.png",4,220,900)</f>
        <v/>
      </c>
      <c r="T1495">
        <f>IMAGE("https://mitra.stanford.edu/kundaje/oak/projects/neuro-variants/variant_position/credible/roussos_2024/variant_figures/roussos_2024.infant.GLU/rs12930379_profile_position.png",4,220,900)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0.0868967548</v>
      </c>
      <c r="G1496" t="n">
        <v>0.0688183485719452</v>
      </c>
      <c r="H1496" t="n">
        <v>0.0124304762165522</v>
      </c>
      <c r="I1496" t="n">
        <v>0.5272136373674072</v>
      </c>
      <c r="J1496" t="n">
        <v>0.0391950880751339</v>
      </c>
      <c r="K1496" t="n">
        <v>0.3911967049687598</v>
      </c>
      <c r="L1496" t="b">
        <v>0</v>
      </c>
      <c r="M1496" t="b">
        <v>0</v>
      </c>
      <c r="N1496" t="inlineStr">
        <is>
          <t>alt</t>
        </is>
      </c>
      <c r="O1496" t="n">
        <v>100</v>
      </c>
      <c r="P1496" t="n">
        <v>0.01013</v>
      </c>
      <c r="Q1496" t="n">
        <v>100</v>
      </c>
      <c r="R1496" t="n">
        <v>0.01639</v>
      </c>
      <c r="S1496">
        <f>IMAGE("https://mitra.stanford.edu/kundaje/oak/projects/neuro-variants/variant_position/credible/roussos_2024/variant_figures/roussos_2024.infant.GLU/rs3114896_count_position.png",4,220,900)</f>
        <v/>
      </c>
      <c r="T1496">
        <f>IMAGE("https://mitra.stanford.edu/kundaje/oak/projects/neuro-variants/variant_position/credible/roussos_2024/variant_figures/roussos_2024.infant.GLU/rs3114896_profile_position.png",4,220,900)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0.0355158966</v>
      </c>
      <c r="G1497" t="n">
        <v>0.2570580530603031</v>
      </c>
      <c r="H1497" t="n">
        <v>0.0155298811206853</v>
      </c>
      <c r="I1497" t="n">
        <v>0.3341069551348935</v>
      </c>
      <c r="J1497" t="n">
        <v>0.1379582883220529</v>
      </c>
      <c r="K1497" t="n">
        <v>0.1601037069196596</v>
      </c>
      <c r="L1497" t="b">
        <v>0</v>
      </c>
      <c r="M1497" t="b">
        <v>0</v>
      </c>
      <c r="N1497" t="inlineStr">
        <is>
          <t>alt</t>
        </is>
      </c>
      <c r="O1497" t="n">
        <v>-85</v>
      </c>
      <c r="P1497" t="n">
        <v>0.0112</v>
      </c>
      <c r="Q1497" t="n">
        <v>100</v>
      </c>
      <c r="R1497" t="n">
        <v>0.271</v>
      </c>
      <c r="S1497">
        <f>IMAGE("https://mitra.stanford.edu/kundaje/oak/projects/neuro-variants/variant_position/credible/roussos_2024/variant_figures/roussos_2024.infant.GLU/rs3114881_count_position.png",4,220,900)</f>
        <v/>
      </c>
      <c r="T1497">
        <f>IMAGE("https://mitra.stanford.edu/kundaje/oak/projects/neuro-variants/variant_position/credible/roussos_2024/variant_figures/roussos_2024.infant.GLU/rs3114881_profile_position.png",4,220,900)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-0.025651282</v>
      </c>
      <c r="G1498" t="n">
        <v>0.3729711654319338</v>
      </c>
      <c r="H1498" t="n">
        <v>0.0255451029904953</v>
      </c>
      <c r="I1498" t="n">
        <v>0.1028851258949375</v>
      </c>
      <c r="J1498" t="n">
        <v>0.1485239974426243</v>
      </c>
      <c r="K1498" t="n">
        <v>0.1505050390845419</v>
      </c>
      <c r="L1498" t="b">
        <v>0</v>
      </c>
      <c r="M1498" t="b">
        <v>0</v>
      </c>
      <c r="N1498" t="inlineStr">
        <is>
          <t>ref</t>
        </is>
      </c>
      <c r="O1498" t="n">
        <v>-95</v>
      </c>
      <c r="P1498" t="n">
        <v>0.04797</v>
      </c>
      <c r="Q1498" t="n">
        <v>30</v>
      </c>
      <c r="R1498" t="n">
        <v>0.02203</v>
      </c>
      <c r="S1498">
        <f>IMAGE("https://mitra.stanford.edu/kundaje/oak/projects/neuro-variants/variant_position/credible/roussos_2024/variant_figures/roussos_2024.infant.GLU/rs369449674_count_position.png",4,220,900)</f>
        <v/>
      </c>
      <c r="T1498">
        <f>IMAGE("https://mitra.stanford.edu/kundaje/oak/projects/neuro-variants/variant_position/credible/roussos_2024/variant_figures/roussos_2024.infant.GLU/rs369449674_profile_position.png",4,220,900)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0.09724075660000001</v>
      </c>
      <c r="G1499" t="n">
        <v>0.052787511729573</v>
      </c>
      <c r="H1499" t="n">
        <v>0.0188010541557853</v>
      </c>
      <c r="I1499" t="n">
        <v>0.2173867281953919</v>
      </c>
      <c r="J1499" t="n">
        <v>0.2665733371546991</v>
      </c>
      <c r="K1499" t="n">
        <v>0.0790143705254107</v>
      </c>
      <c r="L1499" t="b">
        <v>0</v>
      </c>
      <c r="M1499" t="b">
        <v>0</v>
      </c>
      <c r="N1499" t="inlineStr">
        <is>
          <t>alt</t>
        </is>
      </c>
      <c r="O1499" t="n">
        <v>-70</v>
      </c>
      <c r="P1499" t="n">
        <v>0.0196</v>
      </c>
      <c r="Q1499" t="n">
        <v>-70</v>
      </c>
      <c r="R1499" t="n">
        <v>0.0476</v>
      </c>
      <c r="S1499">
        <f>IMAGE("https://mitra.stanford.edu/kundaje/oak/projects/neuro-variants/variant_position/credible/roussos_2024/variant_figures/roussos_2024.infant.GLU/rs4785573_count_position.png",4,220,900)</f>
        <v/>
      </c>
      <c r="T1499">
        <f>IMAGE("https://mitra.stanford.edu/kundaje/oak/projects/neuro-variants/variant_position/credible/roussos_2024/variant_figures/roussos_2024.infant.GLU/rs4785573_profile_position.png",4,220,900)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-0.0577319428</v>
      </c>
      <c r="G1500" t="n">
        <v>0.1467089341805485</v>
      </c>
      <c r="H1500" t="n">
        <v>0.0200586014398366</v>
      </c>
      <c r="I1500" t="n">
        <v>0.1868577361325984</v>
      </c>
      <c r="J1500" t="n">
        <v>0.8270949535924513</v>
      </c>
      <c r="K1500" t="n">
        <v>0.0068363355613563</v>
      </c>
      <c r="L1500" t="b">
        <v>0</v>
      </c>
      <c r="M1500" t="b">
        <v>0</v>
      </c>
      <c r="N1500" t="inlineStr">
        <is>
          <t>ref</t>
        </is>
      </c>
      <c r="O1500" t="n">
        <v>-100</v>
      </c>
      <c r="P1500" t="n">
        <v>0.03006</v>
      </c>
      <c r="Q1500" t="n">
        <v>100</v>
      </c>
      <c r="R1500" t="n">
        <v>0.3477</v>
      </c>
      <c r="S1500">
        <f>IMAGE("https://mitra.stanford.edu/kundaje/oak/projects/neuro-variants/variant_position/credible/roussos_2024/variant_figures/roussos_2024.infant.GLU/rs34607811_count_position.png",4,220,900)</f>
        <v/>
      </c>
      <c r="T1500">
        <f>IMAGE("https://mitra.stanford.edu/kundaje/oak/projects/neuro-variants/variant_position/credible/roussos_2024/variant_figures/roussos_2024.infant.GLU/rs34607811_profile_position.png",4,220,900)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-0.0656113084</v>
      </c>
      <c r="G1501" t="n">
        <v>0.1294387447691049</v>
      </c>
      <c r="H1501" t="n">
        <v>0.0180394733221244</v>
      </c>
      <c r="I1501" t="n">
        <v>0.2511200807918791</v>
      </c>
      <c r="J1501" t="n">
        <v>0.1706463987301306</v>
      </c>
      <c r="K1501" t="n">
        <v>0.1302794929165804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0.08649999999999999</v>
      </c>
      <c r="Q1501" t="n">
        <v>85</v>
      </c>
      <c r="R1501" t="n">
        <v>0.1802</v>
      </c>
      <c r="S1501">
        <f>IMAGE("https://mitra.stanford.edu/kundaje/oak/projects/neuro-variants/variant_position/credible/roussos_2024/variant_figures/roussos_2024.infant.GLU/rs72805595_count_position.png",4,220,900)</f>
        <v/>
      </c>
      <c r="T1501">
        <f>IMAGE("https://mitra.stanford.edu/kundaje/oak/projects/neuro-variants/variant_position/credible/roussos_2024/variant_figures/roussos_2024.infant.GLU/rs72805595_profile_position.png",4,220,900)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0.059736398</v>
      </c>
      <c r="G1502" t="n">
        <v>0.1274062346041249</v>
      </c>
      <c r="H1502" t="n">
        <v>0.0112685274203332</v>
      </c>
      <c r="I1502" t="n">
        <v>0.5984059501280515</v>
      </c>
      <c r="J1502" t="n">
        <v>0.1200831147071142</v>
      </c>
      <c r="K1502" t="n">
        <v>0.1888340044528458</v>
      </c>
      <c r="L1502" t="b">
        <v>0</v>
      </c>
      <c r="M1502" t="b">
        <v>0</v>
      </c>
      <c r="N1502" t="inlineStr">
        <is>
          <t>alt</t>
        </is>
      </c>
      <c r="O1502" t="n">
        <v>-75</v>
      </c>
      <c r="P1502" t="n">
        <v>0.05417</v>
      </c>
      <c r="Q1502" t="n">
        <v>-65</v>
      </c>
      <c r="R1502" t="n">
        <v>0.1444</v>
      </c>
      <c r="S1502">
        <f>IMAGE("https://mitra.stanford.edu/kundaje/oak/projects/neuro-variants/variant_position/credible/roussos_2024/variant_figures/roussos_2024.infant.GLU/rs467357_count_position.png",4,220,900)</f>
        <v/>
      </c>
      <c r="T1502">
        <f>IMAGE("https://mitra.stanford.edu/kundaje/oak/projects/neuro-variants/variant_position/credible/roussos_2024/variant_figures/roussos_2024.infant.GLU/rs467357_profile_position.png",4,220,900)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-0.0416828826</v>
      </c>
      <c r="G1503" t="n">
        <v>0.2221653308648942</v>
      </c>
      <c r="H1503" t="n">
        <v>0.0121341913597623</v>
      </c>
      <c r="I1503" t="n">
        <v>0.5452777645373699</v>
      </c>
      <c r="J1503" t="n">
        <v>0.1088075133931523</v>
      </c>
      <c r="K1503" t="n">
        <v>0.1974036893287528</v>
      </c>
      <c r="L1503" t="b">
        <v>0</v>
      </c>
      <c r="M1503" t="b">
        <v>0</v>
      </c>
      <c r="N1503" t="inlineStr">
        <is>
          <t>ref</t>
        </is>
      </c>
      <c r="O1503" t="n">
        <v>100</v>
      </c>
      <c r="P1503" t="n">
        <v>0.004227</v>
      </c>
      <c r="Q1503" t="n">
        <v>-80</v>
      </c>
      <c r="R1503" t="n">
        <v>0.01715</v>
      </c>
      <c r="S1503">
        <f>IMAGE("https://mitra.stanford.edu/kundaje/oak/projects/neuro-variants/variant_position/credible/roussos_2024/variant_figures/roussos_2024.infant.GLU/rs1230_count_position.png",4,220,900)</f>
        <v/>
      </c>
      <c r="T1503">
        <f>IMAGE("https://mitra.stanford.edu/kundaje/oak/projects/neuro-variants/variant_position/credible/roussos_2024/variant_figures/roussos_2024.infant.GLU/rs1230_profile_position.png",4,220,900)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-0.0664865638</v>
      </c>
      <c r="G1504" t="n">
        <v>0.1269023671269135</v>
      </c>
      <c r="H1504" t="n">
        <v>0.0186702138696385</v>
      </c>
      <c r="I1504" t="n">
        <v>0.2226010231835577</v>
      </c>
      <c r="J1504" t="n">
        <v>0.1373442977137943</v>
      </c>
      <c r="K1504" t="n">
        <v>0.1625820183168134</v>
      </c>
      <c r="L1504" t="b">
        <v>0</v>
      </c>
      <c r="M1504" t="b">
        <v>0</v>
      </c>
      <c r="N1504" t="inlineStr">
        <is>
          <t>ref</t>
        </is>
      </c>
      <c r="O1504" t="n">
        <v>95</v>
      </c>
      <c r="P1504" t="n">
        <v>0.008865</v>
      </c>
      <c r="Q1504" t="n">
        <v>-90</v>
      </c>
      <c r="R1504" t="n">
        <v>0.02893</v>
      </c>
      <c r="S1504">
        <f>IMAGE("https://mitra.stanford.edu/kundaje/oak/projects/neuro-variants/variant_position/credible/roussos_2024/variant_figures/roussos_2024.infant.GLU/rs12102297_count_position.png",4,220,900)</f>
        <v/>
      </c>
      <c r="T1504">
        <f>IMAGE("https://mitra.stanford.edu/kundaje/oak/projects/neuro-variants/variant_position/credible/roussos_2024/variant_figures/roussos_2024.infant.GLU/rs12102297_profile_position.png",4,220,900)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0.0457886824</v>
      </c>
      <c r="G1505" t="n">
        <v>0.1837075666223396</v>
      </c>
      <c r="H1505" t="n">
        <v>0.0550110320645886</v>
      </c>
      <c r="I1505" t="n">
        <v>0.0047860739310273</v>
      </c>
      <c r="J1505" t="n">
        <v>0.005089397914416</v>
      </c>
      <c r="K1505" t="n">
        <v>0.7508114783602267</v>
      </c>
      <c r="L1505" t="b">
        <v>0</v>
      </c>
      <c r="M1505" t="b">
        <v>0</v>
      </c>
      <c r="N1505" t="inlineStr">
        <is>
          <t>alt</t>
        </is>
      </c>
      <c r="O1505" t="n">
        <v>-100</v>
      </c>
      <c r="P1505" t="n">
        <v>0.3064</v>
      </c>
      <c r="Q1505" t="n">
        <v>-100</v>
      </c>
      <c r="R1505" t="n">
        <v>0.12305</v>
      </c>
      <c r="S1505">
        <f>IMAGE("https://mitra.stanford.edu/kundaje/oak/projects/neuro-variants/variant_position/credible/roussos_2024/variant_figures/roussos_2024.infant.GLU/rs12447465_count_position.png",4,220,900)</f>
        <v/>
      </c>
      <c r="T1505">
        <f>IMAGE("https://mitra.stanford.edu/kundaje/oak/projects/neuro-variants/variant_position/credible/roussos_2024/variant_figures/roussos_2024.infant.GLU/rs12447465_profile_position.png",4,220,900)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-0.00235364606</v>
      </c>
      <c r="G1506" t="n">
        <v>0.8305626701542308</v>
      </c>
      <c r="H1506" t="n">
        <v>0.0090566015350813</v>
      </c>
      <c r="I1506" t="n">
        <v>0.8089355795741215</v>
      </c>
      <c r="J1506" t="n">
        <v>0.0690094578804647</v>
      </c>
      <c r="K1506" t="n">
        <v>0.2806384017589402</v>
      </c>
      <c r="L1506" t="b">
        <v>0</v>
      </c>
      <c r="M1506" t="b">
        <v>0</v>
      </c>
      <c r="N1506" t="inlineStr">
        <is>
          <t>ref</t>
        </is>
      </c>
      <c r="O1506" t="n">
        <v>-30</v>
      </c>
      <c r="P1506" t="n">
        <v>0.0055</v>
      </c>
      <c r="Q1506" t="n">
        <v>100</v>
      </c>
      <c r="R1506" t="n">
        <v>0.05603</v>
      </c>
      <c r="S1506">
        <f>IMAGE("https://mitra.stanford.edu/kundaje/oak/projects/neuro-variants/variant_position/credible/roussos_2024/variant_figures/roussos_2024.infant.GLU/rs4785595_count_position.png",4,220,900)</f>
        <v/>
      </c>
      <c r="T1506">
        <f>IMAGE("https://mitra.stanford.edu/kundaje/oak/projects/neuro-variants/variant_position/credible/roussos_2024/variant_figures/roussos_2024.infant.GLU/rs4785595_profile_position.png",4,220,900)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-0.09531584279999999</v>
      </c>
      <c r="G1507" t="n">
        <v>0.0553833555881331</v>
      </c>
      <c r="H1507" t="n">
        <v>0.0174087498744276</v>
      </c>
      <c r="I1507" t="n">
        <v>0.2627495211037526</v>
      </c>
      <c r="J1507" t="n">
        <v>0.3240073634780308</v>
      </c>
      <c r="K1507" t="n">
        <v>0.0618839126799189</v>
      </c>
      <c r="L1507" t="b">
        <v>0</v>
      </c>
      <c r="M1507" t="b">
        <v>0</v>
      </c>
      <c r="N1507" t="inlineStr">
        <is>
          <t>ref</t>
        </is>
      </c>
      <c r="O1507" t="n">
        <v>-40</v>
      </c>
      <c r="P1507" t="n">
        <v>0.003555</v>
      </c>
      <c r="Q1507" t="n">
        <v>-30</v>
      </c>
      <c r="R1507" t="n">
        <v>0.04297</v>
      </c>
      <c r="S1507">
        <f>IMAGE("https://mitra.stanford.edu/kundaje/oak/projects/neuro-variants/variant_position/credible/roussos_2024/variant_figures/roussos_2024.infant.GLU/rs886952_count_position.png",4,220,900)</f>
        <v/>
      </c>
      <c r="T1507">
        <f>IMAGE("https://mitra.stanford.edu/kundaje/oak/projects/neuro-variants/variant_position/credible/roussos_2024/variant_figures/roussos_2024.infant.GLU/rs886952_profile_position.png",4,220,900)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-0.0346339413999999</v>
      </c>
      <c r="G1508" t="n">
        <v>0.2733368938341523</v>
      </c>
      <c r="H1508" t="n">
        <v>0.0155940753091616</v>
      </c>
      <c r="I1508" t="n">
        <v>0.3296499769592046</v>
      </c>
      <c r="J1508" t="n">
        <v>0.4884388985647831</v>
      </c>
      <c r="K1508" t="n">
        <v>0.0325966765127876</v>
      </c>
      <c r="L1508" t="b">
        <v>0</v>
      </c>
      <c r="M1508" t="b">
        <v>0</v>
      </c>
      <c r="N1508" t="inlineStr">
        <is>
          <t>ref</t>
        </is>
      </c>
      <c r="O1508" t="n">
        <v>90</v>
      </c>
      <c r="P1508" t="n">
        <v>0.01819</v>
      </c>
      <c r="Q1508" t="n">
        <v>-75</v>
      </c>
      <c r="R1508" t="n">
        <v>0.572</v>
      </c>
      <c r="S1508">
        <f>IMAGE("https://mitra.stanford.edu/kundaje/oak/projects/neuro-variants/variant_position/credible/roussos_2024/variant_figures/roussos_2024.infant.GLU/rs4785721_count_position.png",4,220,900)</f>
        <v/>
      </c>
      <c r="T1508">
        <f>IMAGE("https://mitra.stanford.edu/kundaje/oak/projects/neuro-variants/variant_position/credible/roussos_2024/variant_figures/roussos_2024.infant.GLU/rs4785721_profile_position.png",4,220,900)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0.0076378618</v>
      </c>
      <c r="G1509" t="n">
        <v>0.4587089369699685</v>
      </c>
      <c r="H1509" t="n">
        <v>0.0315122894249585</v>
      </c>
      <c r="I1509" t="n">
        <v>0.0493067443780344</v>
      </c>
      <c r="J1509" t="n">
        <v>0.09934853061134501</v>
      </c>
      <c r="K1509" t="n">
        <v>0.2182709408940453</v>
      </c>
      <c r="L1509" t="b">
        <v>0</v>
      </c>
      <c r="M1509" t="b">
        <v>0</v>
      </c>
      <c r="N1509" t="inlineStr">
        <is>
          <t>alt</t>
        </is>
      </c>
      <c r="O1509" t="n">
        <v>85</v>
      </c>
      <c r="P1509" t="n">
        <v>0.2505</v>
      </c>
      <c r="Q1509" t="n">
        <v>100</v>
      </c>
      <c r="R1509" t="n">
        <v>0.1595</v>
      </c>
      <c r="S1509">
        <f>IMAGE("https://mitra.stanford.edu/kundaje/oak/projects/neuro-variants/variant_position/credible/roussos_2024/variant_figures/roussos_2024.infant.GLU/rs1558184_count_position.png",4,220,900)</f>
        <v/>
      </c>
      <c r="T1509">
        <f>IMAGE("https://mitra.stanford.edu/kundaje/oak/projects/neuro-variants/variant_position/credible/roussos_2024/variant_figures/roussos_2024.infant.GLU/rs1558184_profile_position.png",4,220,900)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0.158014311</v>
      </c>
      <c r="G1510" t="n">
        <v>0.02490027092713</v>
      </c>
      <c r="H1510" t="n">
        <v>0.021312304800804</v>
      </c>
      <c r="I1510" t="n">
        <v>0.1661805520958187</v>
      </c>
      <c r="J1510" t="n">
        <v>0.0981326748826032</v>
      </c>
      <c r="K1510" t="n">
        <v>0.2146141144013656</v>
      </c>
      <c r="L1510" t="b">
        <v>0</v>
      </c>
      <c r="M1510" t="b">
        <v>0</v>
      </c>
      <c r="N1510" t="inlineStr">
        <is>
          <t>alt</t>
        </is>
      </c>
      <c r="O1510" t="n">
        <v>-50</v>
      </c>
      <c r="P1510" t="n">
        <v>0.008670000000000001</v>
      </c>
      <c r="Q1510" t="n">
        <v>-100</v>
      </c>
      <c r="R1510" t="n">
        <v>0.1522</v>
      </c>
      <c r="S1510">
        <f>IMAGE("https://mitra.stanford.edu/kundaje/oak/projects/neuro-variants/variant_position/credible/roussos_2024/variant_figures/roussos_2024.infant.GLU/rs17232672_count_position.png",4,220,900)</f>
        <v/>
      </c>
      <c r="T1510">
        <f>IMAGE("https://mitra.stanford.edu/kundaje/oak/projects/neuro-variants/variant_position/credible/roussos_2024/variant_figures/roussos_2024.infant.GLU/rs17232672_profile_position.png",4,220,900)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0.0728828494</v>
      </c>
      <c r="G1511" t="n">
        <v>0.0944470555964053</v>
      </c>
      <c r="H1511" t="n">
        <v>0.009849606681768101</v>
      </c>
      <c r="I1511" t="n">
        <v>0.7061581335149471</v>
      </c>
      <c r="J1511" t="n">
        <v>0.0626016887497519</v>
      </c>
      <c r="K1511" t="n">
        <v>0.3001168660946692</v>
      </c>
      <c r="L1511" t="b">
        <v>0</v>
      </c>
      <c r="M1511" t="b">
        <v>0</v>
      </c>
      <c r="N1511" t="inlineStr">
        <is>
          <t>alt</t>
        </is>
      </c>
      <c r="O1511" t="n">
        <v>-15</v>
      </c>
      <c r="P1511" t="n">
        <v>0.0166</v>
      </c>
      <c r="Q1511" t="n">
        <v>-15</v>
      </c>
      <c r="R1511" t="n">
        <v>0.010864</v>
      </c>
      <c r="S1511">
        <f>IMAGE("https://mitra.stanford.edu/kundaje/oak/projects/neuro-variants/variant_position/credible/roussos_2024/variant_figures/roussos_2024.infant.GLU/rs8045232_count_position.png",4,220,900)</f>
        <v/>
      </c>
      <c r="T1511">
        <f>IMAGE("https://mitra.stanford.edu/kundaje/oak/projects/neuro-variants/variant_position/credible/roussos_2024/variant_figures/roussos_2024.infant.GLU/rs8045232_profile_position.png",4,220,900)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0.0018427290999999</v>
      </c>
      <c r="G1512" t="n">
        <v>0.8709910279301963</v>
      </c>
      <c r="H1512" t="n">
        <v>0.0119227300088271</v>
      </c>
      <c r="I1512" t="n">
        <v>0.568983341063693</v>
      </c>
      <c r="J1512" t="n">
        <v>0.0809255054123767</v>
      </c>
      <c r="K1512" t="n">
        <v>0.2419874236928099</v>
      </c>
      <c r="L1512" t="b">
        <v>0</v>
      </c>
      <c r="M1512" t="b">
        <v>0</v>
      </c>
      <c r="N1512" t="inlineStr">
        <is>
          <t>alt</t>
        </is>
      </c>
      <c r="O1512" t="n">
        <v>80</v>
      </c>
      <c r="P1512" t="n">
        <v>0.005127</v>
      </c>
      <c r="Q1512" t="n">
        <v>-90</v>
      </c>
      <c r="R1512" t="n">
        <v>0.0906</v>
      </c>
      <c r="S1512">
        <f>IMAGE("https://mitra.stanford.edu/kundaje/oak/projects/neuro-variants/variant_position/credible/roussos_2024/variant_figures/roussos_2024.infant.GLU/rs9938865_count_position.png",4,220,900)</f>
        <v/>
      </c>
      <c r="T1512">
        <f>IMAGE("https://mitra.stanford.edu/kundaje/oak/projects/neuro-variants/variant_position/credible/roussos_2024/variant_figures/roussos_2024.infant.GLU/rs9938865_profile_position.png",4,220,900)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-0.0107594901199999</v>
      </c>
      <c r="G1513" t="n">
        <v>0.5475408064881073</v>
      </c>
      <c r="H1513" t="n">
        <v>0.0077187060336637</v>
      </c>
      <c r="I1513" t="n">
        <v>0.9082320048501824</v>
      </c>
      <c r="J1513" t="n">
        <v>0.0899071849026653</v>
      </c>
      <c r="K1513" t="n">
        <v>0.2406158792227804</v>
      </c>
      <c r="L1513" t="b">
        <v>0</v>
      </c>
      <c r="M1513" t="b">
        <v>0</v>
      </c>
      <c r="N1513" t="inlineStr">
        <is>
          <t>ref</t>
        </is>
      </c>
      <c r="O1513" t="n">
        <v>-65</v>
      </c>
      <c r="P1513" t="n">
        <v>0.02704</v>
      </c>
      <c r="Q1513" t="n">
        <v>65</v>
      </c>
      <c r="R1513" t="n">
        <v>0.07935</v>
      </c>
      <c r="S1513">
        <f>IMAGE("https://mitra.stanford.edu/kundaje/oak/projects/neuro-variants/variant_position/credible/roussos_2024/variant_figures/roussos_2024.infant.GLU/rs9940552_count_position.png",4,220,900)</f>
        <v/>
      </c>
      <c r="T1513">
        <f>IMAGE("https://mitra.stanford.edu/kundaje/oak/projects/neuro-variants/variant_position/credible/roussos_2024/variant_figures/roussos_2024.infant.GLU/rs9940552_profile_position.png",4,220,900)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-0.0180420065</v>
      </c>
      <c r="G1514" t="n">
        <v>0.481497513569806</v>
      </c>
      <c r="H1514" t="n">
        <v>0.0237173578853637</v>
      </c>
      <c r="I1514" t="n">
        <v>0.1191497583490235</v>
      </c>
      <c r="J1514" t="n">
        <v>0.09313036001675511</v>
      </c>
      <c r="K1514" t="n">
        <v>0.2279040662552993</v>
      </c>
      <c r="L1514" t="b">
        <v>0</v>
      </c>
      <c r="M1514" t="b">
        <v>0</v>
      </c>
      <c r="N1514" t="inlineStr">
        <is>
          <t>ref</t>
        </is>
      </c>
      <c r="O1514" t="n">
        <v>100</v>
      </c>
      <c r="P1514" t="n">
        <v>0.179</v>
      </c>
      <c r="Q1514" t="n">
        <v>-85</v>
      </c>
      <c r="R1514" t="n">
        <v>0.2356</v>
      </c>
      <c r="S1514">
        <f>IMAGE("https://mitra.stanford.edu/kundaje/oak/projects/neuro-variants/variant_position/credible/roussos_2024/variant_figures/roussos_2024.infant.GLU/rs9927381_count_position.png",4,220,900)</f>
        <v/>
      </c>
      <c r="T1514">
        <f>IMAGE("https://mitra.stanford.edu/kundaje/oak/projects/neuro-variants/variant_position/credible/roussos_2024/variant_figures/roussos_2024.infant.GLU/rs9927381_profile_position.png",4,220,900)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-0.0189936832</v>
      </c>
      <c r="G1515" t="n">
        <v>0.4739502043073256</v>
      </c>
      <c r="H1515" t="n">
        <v>0.0153747303480281</v>
      </c>
      <c r="I1515" t="n">
        <v>0.3447726345732948</v>
      </c>
      <c r="J1515" t="n">
        <v>0.0586575982715667</v>
      </c>
      <c r="K1515" t="n">
        <v>0.3082771911410453</v>
      </c>
      <c r="L1515" t="b">
        <v>0</v>
      </c>
      <c r="M1515" t="b">
        <v>0</v>
      </c>
      <c r="N1515" t="inlineStr">
        <is>
          <t>ref</t>
        </is>
      </c>
      <c r="O1515" t="n">
        <v>-100</v>
      </c>
      <c r="P1515" t="n">
        <v>0.03336</v>
      </c>
      <c r="Q1515" t="n">
        <v>-100</v>
      </c>
      <c r="R1515" t="n">
        <v>0.04297</v>
      </c>
      <c r="S1515">
        <f>IMAGE("https://mitra.stanford.edu/kundaje/oak/projects/neuro-variants/variant_position/credible/roussos_2024/variant_figures/roussos_2024.infant.GLU/rs75329315_count_position.png",4,220,900)</f>
        <v/>
      </c>
      <c r="T1515">
        <f>IMAGE("https://mitra.stanford.edu/kundaje/oak/projects/neuro-variants/variant_position/credible/roussos_2024/variant_figures/roussos_2024.infant.GLU/rs75329315_profile_position.png",4,220,900)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0.1117659769999999</v>
      </c>
      <c r="G1516" t="n">
        <v>0.0393615283780933</v>
      </c>
      <c r="H1516" t="n">
        <v>0.0480216976465504</v>
      </c>
      <c r="I1516" t="n">
        <v>0.009314255991364701</v>
      </c>
      <c r="J1516" t="n">
        <v>0.3806091404131485</v>
      </c>
      <c r="K1516" t="n">
        <v>0.0488822185404258</v>
      </c>
      <c r="L1516" t="b">
        <v>1</v>
      </c>
      <c r="M1516" t="b">
        <v>1</v>
      </c>
      <c r="N1516" t="inlineStr">
        <is>
          <t>alt</t>
        </is>
      </c>
      <c r="O1516" t="n">
        <v>-100</v>
      </c>
      <c r="P1516" t="n">
        <v>0.03027</v>
      </c>
      <c r="Q1516" t="n">
        <v>-40</v>
      </c>
      <c r="R1516" t="n">
        <v>0.09106</v>
      </c>
      <c r="S1516">
        <f>IMAGE("https://mitra.stanford.edu/kundaje/oak/projects/neuro-variants/variant_position/credible/roussos_2024/variant_figures/roussos_2024.infant.GLU/rs7225625_count_position.png",4,220,900)</f>
        <v/>
      </c>
      <c r="T1516">
        <f>IMAGE("https://mitra.stanford.edu/kundaje/oak/projects/neuro-variants/variant_position/credible/roussos_2024/variant_figures/roussos_2024.infant.GLU/rs7225625_profile_position.png",4,220,900)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0.0564788944</v>
      </c>
      <c r="G1517" t="n">
        <v>0.1364092723951513</v>
      </c>
      <c r="H1517" t="n">
        <v>0.0104602766657447</v>
      </c>
      <c r="I1517" t="n">
        <v>0.6939221186818025</v>
      </c>
      <c r="J1517" t="n">
        <v>0.312844198505258</v>
      </c>
      <c r="K1517" t="n">
        <v>0.0642672672820636</v>
      </c>
      <c r="L1517" t="b">
        <v>0</v>
      </c>
      <c r="M1517" t="b">
        <v>0</v>
      </c>
      <c r="N1517" t="inlineStr">
        <is>
          <t>alt</t>
        </is>
      </c>
      <c r="O1517" t="n">
        <v>-40</v>
      </c>
      <c r="P1517" t="n">
        <v>0.00589</v>
      </c>
      <c r="Q1517" t="n">
        <v>-45</v>
      </c>
      <c r="R1517" t="n">
        <v>0.1658</v>
      </c>
      <c r="S1517">
        <f>IMAGE("https://mitra.stanford.edu/kundaje/oak/projects/neuro-variants/variant_position/credible/roussos_2024/variant_figures/roussos_2024.infant.GLU/rs9906314_count_position.png",4,220,900)</f>
        <v/>
      </c>
      <c r="T1517">
        <f>IMAGE("https://mitra.stanford.edu/kundaje/oak/projects/neuro-variants/variant_position/credible/roussos_2024/variant_figures/roussos_2024.infant.GLU/rs9906314_profile_position.png",4,220,900)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-0.0224384566</v>
      </c>
      <c r="G1518" t="n">
        <v>0.421114995006609</v>
      </c>
      <c r="H1518" t="n">
        <v>0.0098697424691352</v>
      </c>
      <c r="I1518" t="n">
        <v>0.7439222646242679</v>
      </c>
      <c r="J1518" t="n">
        <v>0.1070096342511959</v>
      </c>
      <c r="K1518" t="n">
        <v>0.197622693181256</v>
      </c>
      <c r="L1518" t="b">
        <v>0</v>
      </c>
      <c r="M1518" t="b">
        <v>0</v>
      </c>
      <c r="N1518" t="inlineStr">
        <is>
          <t>ref</t>
        </is>
      </c>
      <c r="O1518" t="n">
        <v>85</v>
      </c>
      <c r="P1518" t="n">
        <v>0.005898</v>
      </c>
      <c r="Q1518" t="n">
        <v>55</v>
      </c>
      <c r="R1518" t="n">
        <v>0.03687</v>
      </c>
      <c r="S1518">
        <f>IMAGE("https://mitra.stanford.edu/kundaje/oak/projects/neuro-variants/variant_position/credible/roussos_2024/variant_figures/roussos_2024.infant.GLU/rs59539549_count_position.png",4,220,900)</f>
        <v/>
      </c>
      <c r="T1518">
        <f>IMAGE("https://mitra.stanford.edu/kundaje/oak/projects/neuro-variants/variant_position/credible/roussos_2024/variant_figures/roussos_2024.infant.GLU/rs59539549_profile_position.png",4,220,900)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-0.0031128906599999</v>
      </c>
      <c r="G1519" t="n">
        <v>0.7717090142072852</v>
      </c>
      <c r="H1519" t="n">
        <v>0.0326561863108511</v>
      </c>
      <c r="I1519" t="n">
        <v>0.0431343516534324</v>
      </c>
      <c r="J1519" t="n">
        <v>0.0510483035340284</v>
      </c>
      <c r="K1519" t="n">
        <v>0.343659241312297</v>
      </c>
      <c r="L1519" t="b">
        <v>0</v>
      </c>
      <c r="M1519" t="b">
        <v>0</v>
      </c>
      <c r="N1519" t="inlineStr">
        <is>
          <t>ref</t>
        </is>
      </c>
      <c r="O1519" t="n">
        <v>-100</v>
      </c>
      <c r="P1519" t="n">
        <v>0.02063</v>
      </c>
      <c r="Q1519" t="n">
        <v>-55</v>
      </c>
      <c r="R1519" t="n">
        <v>0.1359</v>
      </c>
      <c r="S1519">
        <f>IMAGE("https://mitra.stanford.edu/kundaje/oak/projects/neuro-variants/variant_position/credible/roussos_2024/variant_figures/roussos_2024.infant.GLU/rs73292184_count_position.png",4,220,900)</f>
        <v/>
      </c>
      <c r="T1519">
        <f>IMAGE("https://mitra.stanford.edu/kundaje/oak/projects/neuro-variants/variant_position/credible/roussos_2024/variant_figures/roussos_2024.infant.GLU/rs73292184_profile_position.png",4,220,900)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0.0476433538</v>
      </c>
      <c r="G1520" t="n">
        <v>0.1787329027341553</v>
      </c>
      <c r="H1520" t="n">
        <v>0.0112001751465631</v>
      </c>
      <c r="I1520" t="n">
        <v>0.6314808594843786</v>
      </c>
      <c r="J1520" t="n">
        <v>0.1370753323485967</v>
      </c>
      <c r="K1520" t="n">
        <v>0.1625873129212732</v>
      </c>
      <c r="L1520" t="b">
        <v>0</v>
      </c>
      <c r="M1520" t="b">
        <v>0</v>
      </c>
      <c r="N1520" t="inlineStr">
        <is>
          <t>alt</t>
        </is>
      </c>
      <c r="O1520" t="n">
        <v>-100</v>
      </c>
      <c r="P1520" t="n">
        <v>0.1362</v>
      </c>
      <c r="Q1520" t="n">
        <v>-80</v>
      </c>
      <c r="R1520" t="n">
        <v>0.0547</v>
      </c>
      <c r="S1520">
        <f>IMAGE("https://mitra.stanford.edu/kundaje/oak/projects/neuro-variants/variant_position/credible/roussos_2024/variant_figures/roussos_2024.infant.GLU/rs12449566_count_position.png",4,220,900)</f>
        <v/>
      </c>
      <c r="T1520">
        <f>IMAGE("https://mitra.stanford.edu/kundaje/oak/projects/neuro-variants/variant_position/credible/roussos_2024/variant_figures/roussos_2024.infant.GLU/rs12449566_profile_position.png",4,220,900)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-0.0571795519999999</v>
      </c>
      <c r="G1521" t="n">
        <v>0.1469350584383105</v>
      </c>
      <c r="H1521" t="n">
        <v>0.0193203943567576</v>
      </c>
      <c r="I1521" t="n">
        <v>0.2021830026122256</v>
      </c>
      <c r="J1521" t="n">
        <v>0.1338455433320839</v>
      </c>
      <c r="K1521" t="n">
        <v>0.1664281837775289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0.1185</v>
      </c>
      <c r="Q1521" t="n">
        <v>30</v>
      </c>
      <c r="R1521" t="n">
        <v>0.02856</v>
      </c>
      <c r="S1521">
        <f>IMAGE("https://mitra.stanford.edu/kundaje/oak/projects/neuro-variants/variant_position/credible/roussos_2024/variant_figures/roussos_2024.infant.GLU/rs12450430_count_position.png",4,220,900)</f>
        <v/>
      </c>
      <c r="T1521">
        <f>IMAGE("https://mitra.stanford.edu/kundaje/oak/projects/neuro-variants/variant_position/credible/roussos_2024/variant_figures/roussos_2024.infant.GLU/rs12450430_profile_position.png",4,220,900)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-0.01816134702</v>
      </c>
      <c r="G1522" t="n">
        <v>0.4863215078394906</v>
      </c>
      <c r="H1522" t="n">
        <v>0.0101446513151113</v>
      </c>
      <c r="I1522" t="n">
        <v>0.7076904381641389</v>
      </c>
      <c r="J1522" t="n">
        <v>0.3588780616856632</v>
      </c>
      <c r="K1522" t="n">
        <v>0.053854874225588</v>
      </c>
      <c r="L1522" t="b">
        <v>0</v>
      </c>
      <c r="M1522" t="b">
        <v>0</v>
      </c>
      <c r="N1522" t="inlineStr">
        <is>
          <t>ref</t>
        </is>
      </c>
      <c r="O1522" t="n">
        <v>-100</v>
      </c>
      <c r="P1522" t="n">
        <v>0.0003204</v>
      </c>
      <c r="Q1522" t="n">
        <v>100</v>
      </c>
      <c r="R1522" t="n">
        <v>0.19</v>
      </c>
      <c r="S1522">
        <f>IMAGE("https://mitra.stanford.edu/kundaje/oak/projects/neuro-variants/variant_position/credible/roussos_2024/variant_figures/roussos_2024.infant.GLU/rs11078769_count_position.png",4,220,900)</f>
        <v/>
      </c>
      <c r="T1522">
        <f>IMAGE("https://mitra.stanford.edu/kundaje/oak/projects/neuro-variants/variant_position/credible/roussos_2024/variant_figures/roussos_2024.infant.GLU/rs11078769_profile_position.png",4,220,900)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0.0514587362</v>
      </c>
      <c r="G1523" t="n">
        <v>0.1631232623414041</v>
      </c>
      <c r="H1523" t="n">
        <v>0.0115481140748271</v>
      </c>
      <c r="I1523" t="n">
        <v>0.5989652894609387</v>
      </c>
      <c r="J1523" t="n">
        <v>0.0596706276593398</v>
      </c>
      <c r="K1523" t="n">
        <v>0.3201094804724099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0.02533</v>
      </c>
      <c r="Q1523" t="n">
        <v>100</v>
      </c>
      <c r="R1523" t="n">
        <v>0.10394</v>
      </c>
      <c r="S1523">
        <f>IMAGE("https://mitra.stanford.edu/kundaje/oak/projects/neuro-variants/variant_position/credible/roussos_2024/variant_figures/roussos_2024.infant.GLU/rs4239070_count_position.png",4,220,900)</f>
        <v/>
      </c>
      <c r="T1523">
        <f>IMAGE("https://mitra.stanford.edu/kundaje/oak/projects/neuro-variants/variant_position/credible/roussos_2024/variant_figures/roussos_2024.infant.GLU/rs4239070_profile_position.png",4,220,900)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0.0232230768</v>
      </c>
      <c r="G1524" t="n">
        <v>0.3891658210124938</v>
      </c>
      <c r="H1524" t="n">
        <v>0.0124907837153487</v>
      </c>
      <c r="I1524" t="n">
        <v>0.5211914650051882</v>
      </c>
      <c r="J1524" t="n">
        <v>0.1850856500363764</v>
      </c>
      <c r="K1524" t="n">
        <v>0.1189736928489374</v>
      </c>
      <c r="L1524" t="b">
        <v>0</v>
      </c>
      <c r="M1524" t="b">
        <v>0</v>
      </c>
      <c r="N1524" t="inlineStr">
        <is>
          <t>alt</t>
        </is>
      </c>
      <c r="O1524" t="n">
        <v>75</v>
      </c>
      <c r="P1524" t="n">
        <v>0.008750000000000001</v>
      </c>
      <c r="Q1524" t="n">
        <v>-25</v>
      </c>
      <c r="R1524" t="n">
        <v>0.05347</v>
      </c>
      <c r="S1524">
        <f>IMAGE("https://mitra.stanford.edu/kundaje/oak/projects/neuro-variants/variant_position/credible/roussos_2024/variant_figures/roussos_2024.infant.GLU/rs4467122_count_position.png",4,220,900)</f>
        <v/>
      </c>
      <c r="T1524">
        <f>IMAGE("https://mitra.stanford.edu/kundaje/oak/projects/neuro-variants/variant_position/credible/roussos_2024/variant_figures/roussos_2024.infant.GLU/rs4467122_profile_position.png",4,220,900)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-0.01397588596</v>
      </c>
      <c r="G1525" t="n">
        <v>0.4636387033967607</v>
      </c>
      <c r="H1525" t="n">
        <v>0.0211738003949418</v>
      </c>
      <c r="I1525" t="n">
        <v>0.1599270973678479</v>
      </c>
      <c r="J1525" t="n">
        <v>0.8389162018563019</v>
      </c>
      <c r="K1525" t="n">
        <v>0.0061969111082087</v>
      </c>
      <c r="L1525" t="b">
        <v>0</v>
      </c>
      <c r="M1525" t="b">
        <v>0</v>
      </c>
      <c r="N1525" t="inlineStr">
        <is>
          <t>ref</t>
        </is>
      </c>
      <c r="O1525" t="n">
        <v>100</v>
      </c>
      <c r="P1525" t="n">
        <v>0.02039</v>
      </c>
      <c r="Q1525" t="n">
        <v>-75</v>
      </c>
      <c r="R1525" t="n">
        <v>0.1538</v>
      </c>
      <c r="S1525">
        <f>IMAGE("https://mitra.stanford.edu/kundaje/oak/projects/neuro-variants/variant_position/credible/roussos_2024/variant_figures/roussos_2024.infant.GLU/rs4530175_count_position.png",4,220,900)</f>
        <v/>
      </c>
      <c r="T1525">
        <f>IMAGE("https://mitra.stanford.edu/kundaje/oak/projects/neuro-variants/variant_position/credible/roussos_2024/variant_figures/roussos_2024.infant.GLU/rs4530175_profile_position.png",4,220,900)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0.0423407326</v>
      </c>
      <c r="G1526" t="n">
        <v>0.2099650799199659</v>
      </c>
      <c r="H1526" t="n">
        <v>0.0147366677066725</v>
      </c>
      <c r="I1526" t="n">
        <v>0.3782870926969353</v>
      </c>
      <c r="J1526" t="n">
        <v>0.3419420622147754</v>
      </c>
      <c r="K1526" t="n">
        <v>0.0570325360251093</v>
      </c>
      <c r="L1526" t="b">
        <v>0</v>
      </c>
      <c r="M1526" t="b">
        <v>0</v>
      </c>
      <c r="N1526" t="inlineStr">
        <is>
          <t>alt</t>
        </is>
      </c>
      <c r="O1526" t="n">
        <v>-100</v>
      </c>
      <c r="P1526" t="n">
        <v>0.011215</v>
      </c>
      <c r="Q1526" t="n">
        <v>65</v>
      </c>
      <c r="R1526" t="n">
        <v>0.04657</v>
      </c>
      <c r="S1526">
        <f>IMAGE("https://mitra.stanford.edu/kundaje/oak/projects/neuro-variants/variant_position/credible/roussos_2024/variant_figures/roussos_2024.infant.GLU/rs7207749_count_position.png",4,220,900)</f>
        <v/>
      </c>
      <c r="T1526">
        <f>IMAGE("https://mitra.stanford.edu/kundaje/oak/projects/neuro-variants/variant_position/credible/roussos_2024/variant_figures/roussos_2024.infant.GLU/rs7207749_profile_position.png",4,220,900)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0.0319710499999999</v>
      </c>
      <c r="G1527" t="n">
        <v>0.2891806377413768</v>
      </c>
      <c r="H1527" t="n">
        <v>0.0117477512502237</v>
      </c>
      <c r="I1527" t="n">
        <v>0.5818270088352677</v>
      </c>
      <c r="J1527" t="n">
        <v>0.2173989726404902</v>
      </c>
      <c r="K1527" t="n">
        <v>0.1007022450533027</v>
      </c>
      <c r="L1527" t="b">
        <v>0</v>
      </c>
      <c r="M1527" t="b">
        <v>0</v>
      </c>
      <c r="N1527" t="inlineStr">
        <is>
          <t>alt</t>
        </is>
      </c>
      <c r="O1527" t="n">
        <v>85</v>
      </c>
      <c r="P1527" t="n">
        <v>0.01087</v>
      </c>
      <c r="Q1527" t="n">
        <v>-95</v>
      </c>
      <c r="R1527" t="n">
        <v>0.01996</v>
      </c>
      <c r="S1527">
        <f>IMAGE("https://mitra.stanford.edu/kundaje/oak/projects/neuro-variants/variant_position/credible/roussos_2024/variant_figures/roussos_2024.infant.GLU/rs7222716_count_position.png",4,220,900)</f>
        <v/>
      </c>
      <c r="T1527">
        <f>IMAGE("https://mitra.stanford.edu/kundaje/oak/projects/neuro-variants/variant_position/credible/roussos_2024/variant_figures/roussos_2024.infant.GLU/rs7222716_profile_position.png",4,220,900)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0.0581438392</v>
      </c>
      <c r="G1528" t="n">
        <v>0.1287375249370906</v>
      </c>
      <c r="H1528" t="n">
        <v>0.0120136963822495</v>
      </c>
      <c r="I1528" t="n">
        <v>0.5559144194728692</v>
      </c>
      <c r="J1528" t="n">
        <v>0.2040642430388676</v>
      </c>
      <c r="K1528" t="n">
        <v>0.1086538414320108</v>
      </c>
      <c r="L1528" t="b">
        <v>0</v>
      </c>
      <c r="M1528" t="b">
        <v>0</v>
      </c>
      <c r="N1528" t="inlineStr">
        <is>
          <t>alt</t>
        </is>
      </c>
      <c r="O1528" t="n">
        <v>5</v>
      </c>
      <c r="P1528" t="n">
        <v>0.000267</v>
      </c>
      <c r="Q1528" t="n">
        <v>-35</v>
      </c>
      <c r="R1528" t="n">
        <v>0.008970000000000001</v>
      </c>
      <c r="S1528">
        <f>IMAGE("https://mitra.stanford.edu/kundaje/oak/projects/neuro-variants/variant_position/credible/roussos_2024/variant_figures/roussos_2024.infant.GLU/rs7222728_count_position.png",4,220,900)</f>
        <v/>
      </c>
      <c r="T1528">
        <f>IMAGE("https://mitra.stanford.edu/kundaje/oak/projects/neuro-variants/variant_position/credible/roussos_2024/variant_figures/roussos_2024.infant.GLU/rs7222728_profile_position.png",4,220,900)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-0.01747398474</v>
      </c>
      <c r="G1529" t="n">
        <v>0.5073801812517494</v>
      </c>
      <c r="H1529" t="n">
        <v>0.0126335790564104</v>
      </c>
      <c r="I1529" t="n">
        <v>0.509279374015783</v>
      </c>
      <c r="J1529" t="n">
        <v>0.5189510350757292</v>
      </c>
      <c r="K1529" t="n">
        <v>0.0285314390399561</v>
      </c>
      <c r="L1529" t="b">
        <v>0</v>
      </c>
      <c r="M1529" t="b">
        <v>0</v>
      </c>
      <c r="N1529" t="inlineStr">
        <is>
          <t>ref</t>
        </is>
      </c>
      <c r="O1529" t="n">
        <v>-100</v>
      </c>
      <c r="P1529" t="n">
        <v>0.04907</v>
      </c>
      <c r="Q1529" t="n">
        <v>-100</v>
      </c>
      <c r="R1529" t="n">
        <v>0.4517</v>
      </c>
      <c r="S1529">
        <f>IMAGE("https://mitra.stanford.edu/kundaje/oak/projects/neuro-variants/variant_position/credible/roussos_2024/variant_figures/roussos_2024.infant.GLU/rs7214308_count_position.png",4,220,900)</f>
        <v/>
      </c>
      <c r="T1529">
        <f>IMAGE("https://mitra.stanford.edu/kundaje/oak/projects/neuro-variants/variant_position/credible/roussos_2024/variant_figures/roussos_2024.infant.GLU/rs7214308_profile_position.png",4,220,900)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0.0152532888</v>
      </c>
      <c r="G1530" t="n">
        <v>0.426449147031383</v>
      </c>
      <c r="H1530" t="n">
        <v>0.0118158292425794</v>
      </c>
      <c r="I1530" t="n">
        <v>0.5718260071215244</v>
      </c>
      <c r="J1530" t="n">
        <v>0.519670848122754</v>
      </c>
      <c r="K1530" t="n">
        <v>0.0284100961475879</v>
      </c>
      <c r="L1530" t="b">
        <v>0</v>
      </c>
      <c r="M1530" t="b">
        <v>0</v>
      </c>
      <c r="N1530" t="inlineStr">
        <is>
          <t>alt</t>
        </is>
      </c>
      <c r="O1530" t="n">
        <v>-95</v>
      </c>
      <c r="P1530" t="n">
        <v>0.04553</v>
      </c>
      <c r="Q1530" t="n">
        <v>-95</v>
      </c>
      <c r="R1530" t="n">
        <v>0.413</v>
      </c>
      <c r="S1530">
        <f>IMAGE("https://mitra.stanford.edu/kundaje/oak/projects/neuro-variants/variant_position/credible/roussos_2024/variant_figures/roussos_2024.infant.GLU/rs12939002_count_position.png",4,220,900)</f>
        <v/>
      </c>
      <c r="T1530">
        <f>IMAGE("https://mitra.stanford.edu/kundaje/oak/projects/neuro-variants/variant_position/credible/roussos_2024/variant_figures/roussos_2024.infant.GLU/rs12939002_profile_position.png",4,220,900)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0.0269292348</v>
      </c>
      <c r="G1531" t="n">
        <v>0.3521512361835798</v>
      </c>
      <c r="H1531" t="n">
        <v>0.0135338917132514</v>
      </c>
      <c r="I1531" t="n">
        <v>0.4475305645570923</v>
      </c>
      <c r="J1531" t="n">
        <v>0.06503560484137649</v>
      </c>
      <c r="K1531" t="n">
        <v>0.2946625862409675</v>
      </c>
      <c r="L1531" t="b">
        <v>0</v>
      </c>
      <c r="M1531" t="b">
        <v>0</v>
      </c>
      <c r="N1531" t="inlineStr">
        <is>
          <t>alt</t>
        </is>
      </c>
      <c r="O1531" t="n">
        <v>10</v>
      </c>
      <c r="P1531" t="n">
        <v>0.03387</v>
      </c>
      <c r="Q1531" t="n">
        <v>-100</v>
      </c>
      <c r="R1531" t="n">
        <v>0.2021</v>
      </c>
      <c r="S1531">
        <f>IMAGE("https://mitra.stanford.edu/kundaje/oak/projects/neuro-variants/variant_position/credible/roussos_2024/variant_figures/roussos_2024.infant.GLU/rs6503245_count_position.png",4,220,900)</f>
        <v/>
      </c>
      <c r="T1531">
        <f>IMAGE("https://mitra.stanford.edu/kundaje/oak/projects/neuro-variants/variant_position/credible/roussos_2024/variant_figures/roussos_2024.infant.GLU/rs6503245_profile_position.png",4,220,900)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0.0575664972</v>
      </c>
      <c r="G1532" t="n">
        <v>0.1308697234230985</v>
      </c>
      <c r="H1532" t="n">
        <v>0.0123224765347018</v>
      </c>
      <c r="I1532" t="n">
        <v>0.5296939590113534</v>
      </c>
      <c r="J1532" t="n">
        <v>0.2152505566701205</v>
      </c>
      <c r="K1532" t="n">
        <v>0.1024254943053915</v>
      </c>
      <c r="L1532" t="b">
        <v>0</v>
      </c>
      <c r="M1532" t="b">
        <v>0</v>
      </c>
      <c r="N1532" t="inlineStr">
        <is>
          <t>alt</t>
        </is>
      </c>
      <c r="O1532" t="n">
        <v>-100</v>
      </c>
      <c r="P1532" t="n">
        <v>0.00544</v>
      </c>
      <c r="Q1532" t="n">
        <v>95</v>
      </c>
      <c r="R1532" t="n">
        <v>0.03168</v>
      </c>
      <c r="S1532">
        <f>IMAGE("https://mitra.stanford.edu/kundaje/oak/projects/neuro-variants/variant_position/credible/roussos_2024/variant_figures/roussos_2024.infant.GLU/rs8082647_count_position.png",4,220,900)</f>
        <v/>
      </c>
      <c r="T1532">
        <f>IMAGE("https://mitra.stanford.edu/kundaje/oak/projects/neuro-variants/variant_position/credible/roussos_2024/variant_figures/roussos_2024.infant.GLU/rs8082647_profile_position.png",4,220,900)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-0.1212107156</v>
      </c>
      <c r="G1533" t="n">
        <v>0.0492104089975392</v>
      </c>
      <c r="H1533" t="n">
        <v>0.0270383198574515</v>
      </c>
      <c r="I1533" t="n">
        <v>0.08460963308652369</v>
      </c>
      <c r="J1533" t="n">
        <v>0.0163209065455587</v>
      </c>
      <c r="K1533" t="n">
        <v>0.577112758471591</v>
      </c>
      <c r="L1533" t="b">
        <v>0</v>
      </c>
      <c r="M1533" t="b">
        <v>0</v>
      </c>
      <c r="N1533" t="inlineStr">
        <is>
          <t>ref</t>
        </is>
      </c>
      <c r="O1533" t="n">
        <v>-20</v>
      </c>
      <c r="P1533" t="n">
        <v>0.004745</v>
      </c>
      <c r="Q1533" t="n">
        <v>30</v>
      </c>
      <c r="R1533" t="n">
        <v>0.01636</v>
      </c>
      <c r="S1533">
        <f>IMAGE("https://mitra.stanford.edu/kundaje/oak/projects/neuro-variants/variant_position/credible/roussos_2024/variant_figures/roussos_2024.infant.GLU/rs2760742_count_position.png",4,220,900)</f>
        <v/>
      </c>
      <c r="T1533">
        <f>IMAGE("https://mitra.stanford.edu/kundaje/oak/projects/neuro-variants/variant_position/credible/roussos_2024/variant_figures/roussos_2024.infant.GLU/rs2760742_profile_position.png",4,220,900)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0.0363981981999999</v>
      </c>
      <c r="G1534" t="n">
        <v>0.2483016151453471</v>
      </c>
      <c r="H1534" t="n">
        <v>0.0120761520589501</v>
      </c>
      <c r="I1534" t="n">
        <v>0.5481428749839942</v>
      </c>
      <c r="J1534" t="n">
        <v>0.1900857602680834</v>
      </c>
      <c r="K1534" t="n">
        <v>0.1148415487781873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0.0361</v>
      </c>
      <c r="Q1534" t="n">
        <v>80</v>
      </c>
      <c r="R1534" t="n">
        <v>0.0448</v>
      </c>
      <c r="S1534">
        <f>IMAGE("https://mitra.stanford.edu/kundaje/oak/projects/neuro-variants/variant_position/credible/roussos_2024/variant_figures/roussos_2024.infant.GLU/rs2760751_count_position.png",4,220,900)</f>
        <v/>
      </c>
      <c r="T1534">
        <f>IMAGE("https://mitra.stanford.edu/kundaje/oak/projects/neuro-variants/variant_position/credible/roussos_2024/variant_figures/roussos_2024.infant.GLU/rs2760751_profile_position.png",4,220,900)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-0.1188802378</v>
      </c>
      <c r="G1535" t="n">
        <v>0.0376876636267916</v>
      </c>
      <c r="H1535" t="n">
        <v>0.0189587953926502</v>
      </c>
      <c r="I1535" t="n">
        <v>0.2282645706222731</v>
      </c>
      <c r="J1535" t="n">
        <v>0.0553572609625432</v>
      </c>
      <c r="K1535" t="n">
        <v>0.3234911933593412</v>
      </c>
      <c r="L1535" t="b">
        <v>0</v>
      </c>
      <c r="M1535" t="b">
        <v>0</v>
      </c>
      <c r="N1535" t="inlineStr">
        <is>
          <t>ref</t>
        </is>
      </c>
      <c r="O1535" t="n">
        <v>-95</v>
      </c>
      <c r="P1535" t="n">
        <v>0.2284</v>
      </c>
      <c r="Q1535" t="n">
        <v>85</v>
      </c>
      <c r="R1535" t="n">
        <v>0.04205</v>
      </c>
      <c r="S1535">
        <f>IMAGE("https://mitra.stanford.edu/kundaje/oak/projects/neuro-variants/variant_position/credible/roussos_2024/variant_figures/roussos_2024.infant.GLU/rs8067895_count_position.png",4,220,900)</f>
        <v/>
      </c>
      <c r="T1535">
        <f>IMAGE("https://mitra.stanford.edu/kundaje/oak/projects/neuro-variants/variant_position/credible/roussos_2024/variant_figures/roussos_2024.infant.GLU/rs8067895_profile_position.png",4,220,900)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-0.0736433302</v>
      </c>
      <c r="G1536" t="n">
        <v>0.1022150981064848</v>
      </c>
      <c r="H1536" t="n">
        <v>0.0158352277953494</v>
      </c>
      <c r="I1536" t="n">
        <v>0.3274390019556317</v>
      </c>
      <c r="J1536" t="n">
        <v>0.2019224409709208</v>
      </c>
      <c r="K1536" t="n">
        <v>0.114290365608946</v>
      </c>
      <c r="L1536" t="b">
        <v>0</v>
      </c>
      <c r="M1536" t="b">
        <v>0</v>
      </c>
      <c r="N1536" t="inlineStr">
        <is>
          <t>ref</t>
        </is>
      </c>
      <c r="O1536" t="n">
        <v>-75</v>
      </c>
      <c r="P1536" t="n">
        <v>0.03003</v>
      </c>
      <c r="Q1536" t="n">
        <v>-65</v>
      </c>
      <c r="R1536" t="n">
        <v>0.2153</v>
      </c>
      <c r="S1536">
        <f>IMAGE("https://mitra.stanford.edu/kundaje/oak/projects/neuro-variants/variant_position/credible/roussos_2024/variant_figures/roussos_2024.infant.GLU/rs2760736_count_position.png",4,220,900)</f>
        <v/>
      </c>
      <c r="T1536">
        <f>IMAGE("https://mitra.stanford.edu/kundaje/oak/projects/neuro-variants/variant_position/credible/roussos_2024/variant_figures/roussos_2024.infant.GLU/rs2760736_profile_position.png",4,220,900)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0.0168873909</v>
      </c>
      <c r="G1537" t="n">
        <v>0.4975248690515684</v>
      </c>
      <c r="H1537" t="n">
        <v>0.034588616911025</v>
      </c>
      <c r="I1537" t="n">
        <v>0.0355141690503455</v>
      </c>
      <c r="J1537" t="n">
        <v>0.0375680680791022</v>
      </c>
      <c r="K1537" t="n">
        <v>0.4049026850441489</v>
      </c>
      <c r="L1537" t="b">
        <v>0</v>
      </c>
      <c r="M1537" t="b">
        <v>0</v>
      </c>
      <c r="N1537" t="inlineStr">
        <is>
          <t>alt</t>
        </is>
      </c>
      <c r="O1537" t="n">
        <v>55</v>
      </c>
      <c r="P1537" t="n">
        <v>0.004395</v>
      </c>
      <c r="Q1537" t="n">
        <v>-95</v>
      </c>
      <c r="R1537" t="n">
        <v>0.04224</v>
      </c>
      <c r="S1537">
        <f>IMAGE("https://mitra.stanford.edu/kundaje/oak/projects/neuro-variants/variant_position/credible/roussos_2024/variant_figures/roussos_2024.infant.GLU/rs6503302_count_position.png",4,220,900)</f>
        <v/>
      </c>
      <c r="T1537">
        <f>IMAGE("https://mitra.stanford.edu/kundaje/oak/projects/neuro-variants/variant_position/credible/roussos_2024/variant_figures/roussos_2024.infant.GLU/rs6503302_profile_position.png",4,220,900)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0.0486502686</v>
      </c>
      <c r="G1538" t="n">
        <v>0.1811870963591672</v>
      </c>
      <c r="H1538" t="n">
        <v>0.0216148718982548</v>
      </c>
      <c r="I1538" t="n">
        <v>0.1554527599781903</v>
      </c>
      <c r="J1538" t="n">
        <v>0.2096144094887452</v>
      </c>
      <c r="K1538" t="n">
        <v>0.1027016610651363</v>
      </c>
      <c r="L1538" t="b">
        <v>0</v>
      </c>
      <c r="M1538" t="b">
        <v>0</v>
      </c>
      <c r="N1538" t="inlineStr">
        <is>
          <t>alt</t>
        </is>
      </c>
      <c r="O1538" t="n">
        <v>-60</v>
      </c>
      <c r="P1538" t="n">
        <v>0.01869</v>
      </c>
      <c r="Q1538" t="n">
        <v>0</v>
      </c>
      <c r="R1538" t="n">
        <v>0</v>
      </c>
      <c r="S1538">
        <f>IMAGE("https://mitra.stanford.edu/kundaje/oak/projects/neuro-variants/variant_position/credible/roussos_2024/variant_figures/roussos_2024.infant.GLU/rs9910413_count_position.png",4,220,900)</f>
        <v/>
      </c>
      <c r="T1538">
        <f>IMAGE("https://mitra.stanford.edu/kundaje/oak/projects/neuro-variants/variant_position/credible/roussos_2024/variant_figures/roussos_2024.infant.GLU/rs9910413_profile_position.png",4,220,900)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-0.0692677574</v>
      </c>
      <c r="G1539" t="n">
        <v>0.101125177755829</v>
      </c>
      <c r="H1539" t="n">
        <v>0.009235933975474699</v>
      </c>
      <c r="I1539" t="n">
        <v>0.8096765993094907</v>
      </c>
      <c r="J1539" t="n">
        <v>0.1764776560329812</v>
      </c>
      <c r="K1539" t="n">
        <v>0.1231627791608734</v>
      </c>
      <c r="L1539" t="b">
        <v>0</v>
      </c>
      <c r="M1539" t="b">
        <v>0</v>
      </c>
      <c r="N1539" t="inlineStr">
        <is>
          <t>ref</t>
        </is>
      </c>
      <c r="O1539" t="n">
        <v>-100</v>
      </c>
      <c r="P1539" t="n">
        <v>0.01683</v>
      </c>
      <c r="Q1539" t="n">
        <v>10</v>
      </c>
      <c r="R1539" t="n">
        <v>0.0221</v>
      </c>
      <c r="S1539">
        <f>IMAGE("https://mitra.stanford.edu/kundaje/oak/projects/neuro-variants/variant_position/credible/roussos_2024/variant_figures/roussos_2024.infant.GLU/rs7214741_count_position.png",4,220,900)</f>
        <v/>
      </c>
      <c r="T1539">
        <f>IMAGE("https://mitra.stanford.edu/kundaje/oak/projects/neuro-variants/variant_position/credible/roussos_2024/variant_figures/roussos_2024.infant.GLU/rs7214741_profile_position.png",4,220,900)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0.028881319682</v>
      </c>
      <c r="G1540" t="n">
        <v>0.3004862931336549</v>
      </c>
      <c r="H1540" t="n">
        <v>0.0121846679361834</v>
      </c>
      <c r="I1540" t="n">
        <v>0.544202738016472</v>
      </c>
      <c r="J1540" t="n">
        <v>0.1603717013161665</v>
      </c>
      <c r="K1540" t="n">
        <v>0.1363541963059927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0.0342</v>
      </c>
      <c r="Q1540" t="n">
        <v>-45</v>
      </c>
      <c r="R1540" t="n">
        <v>0.0536</v>
      </c>
      <c r="S1540">
        <f>IMAGE("https://mitra.stanford.edu/kundaje/oak/projects/neuro-variants/variant_position/credible/roussos_2024/variant_figures/roussos_2024.infant.GLU/rs7223390_count_position.png",4,220,900)</f>
        <v/>
      </c>
      <c r="T1540">
        <f>IMAGE("https://mitra.stanford.edu/kundaje/oak/projects/neuro-variants/variant_position/credible/roussos_2024/variant_figures/roussos_2024.infant.GLU/rs7223390_profile_position.png",4,220,900)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0.096714015</v>
      </c>
      <c r="G1541" t="n">
        <v>0.0528800685960561</v>
      </c>
      <c r="H1541" t="n">
        <v>0.0208226186246455</v>
      </c>
      <c r="I1541" t="n">
        <v>0.1673979883946354</v>
      </c>
      <c r="J1541" t="n">
        <v>0.3478780396393218</v>
      </c>
      <c r="K1541" t="n">
        <v>0.0552991556911382</v>
      </c>
      <c r="L1541" t="b">
        <v>0</v>
      </c>
      <c r="M1541" t="b">
        <v>0</v>
      </c>
      <c r="N1541" t="inlineStr">
        <is>
          <t>alt</t>
        </is>
      </c>
      <c r="O1541" t="n">
        <v>-100</v>
      </c>
      <c r="P1541" t="n">
        <v>0.05414</v>
      </c>
      <c r="Q1541" t="n">
        <v>-65</v>
      </c>
      <c r="R1541" t="n">
        <v>0.0619</v>
      </c>
      <c r="S1541">
        <f>IMAGE("https://mitra.stanford.edu/kundaje/oak/projects/neuro-variants/variant_position/credible/roussos_2024/variant_figures/roussos_2024.infant.GLU/rs57130712_count_position.png",4,220,900)</f>
        <v/>
      </c>
      <c r="T1541">
        <f>IMAGE("https://mitra.stanford.edu/kundaje/oak/projects/neuro-variants/variant_position/credible/roussos_2024/variant_figures/roussos_2024.infant.GLU/rs57130712_profile_position.png",4,220,900)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0.01147793996</v>
      </c>
      <c r="G1542" t="n">
        <v>0.5662381008204649</v>
      </c>
      <c r="H1542" t="n">
        <v>0.0105811184877826</v>
      </c>
      <c r="I1542" t="n">
        <v>0.6883580892839584</v>
      </c>
      <c r="J1542" t="n">
        <v>0.0613615820454595</v>
      </c>
      <c r="K1542" t="n">
        <v>0.2989598324377696</v>
      </c>
      <c r="L1542" t="b">
        <v>0</v>
      </c>
      <c r="M1542" t="b">
        <v>0</v>
      </c>
      <c r="N1542" t="inlineStr">
        <is>
          <t>alt</t>
        </is>
      </c>
      <c r="O1542" t="n">
        <v>65</v>
      </c>
      <c r="P1542" t="n">
        <v>0.0005646</v>
      </c>
      <c r="Q1542" t="n">
        <v>-70</v>
      </c>
      <c r="R1542" t="n">
        <v>0.09375</v>
      </c>
      <c r="S1542">
        <f>IMAGE("https://mitra.stanford.edu/kundaje/oak/projects/neuro-variants/variant_position/credible/roussos_2024/variant_figures/roussos_2024.infant.GLU/rs2270478_count_position.png",4,220,900)</f>
        <v/>
      </c>
      <c r="T1542">
        <f>IMAGE("https://mitra.stanford.edu/kundaje/oak/projects/neuro-variants/variant_position/credible/roussos_2024/variant_figures/roussos_2024.infant.GLU/rs2270478_profile_position.png",4,220,900)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-0.01410563637</v>
      </c>
      <c r="G1543" t="n">
        <v>0.5422260298195333</v>
      </c>
      <c r="H1543" t="n">
        <v>0.0129368666410212</v>
      </c>
      <c r="I1543" t="n">
        <v>0.4879647248687221</v>
      </c>
      <c r="J1543" t="n">
        <v>0.0553131682797239</v>
      </c>
      <c r="K1543" t="n">
        <v>0.3193836088791415</v>
      </c>
      <c r="L1543" t="b">
        <v>0</v>
      </c>
      <c r="M1543" t="b">
        <v>0</v>
      </c>
      <c r="N1543" t="inlineStr">
        <is>
          <t>ref</t>
        </is>
      </c>
      <c r="O1543" t="n">
        <v>-60</v>
      </c>
      <c r="P1543" t="n">
        <v>0.01907</v>
      </c>
      <c r="Q1543" t="n">
        <v>45</v>
      </c>
      <c r="R1543" t="n">
        <v>0.063</v>
      </c>
      <c r="S1543">
        <f>IMAGE("https://mitra.stanford.edu/kundaje/oak/projects/neuro-variants/variant_position/credible/roussos_2024/variant_figures/roussos_2024.infant.GLU/rs11867782_count_position.png",4,220,900)</f>
        <v/>
      </c>
      <c r="T1543">
        <f>IMAGE("https://mitra.stanford.edu/kundaje/oak/projects/neuro-variants/variant_position/credible/roussos_2024/variant_figures/roussos_2024.infant.GLU/rs11867782_profile_position.png",4,220,900)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0.0203181963999999</v>
      </c>
      <c r="G1544" t="n">
        <v>0.3433138394619311</v>
      </c>
      <c r="H1544" t="n">
        <v>0.0145086307239522</v>
      </c>
      <c r="I1544" t="n">
        <v>0.3884442221342663</v>
      </c>
      <c r="J1544" t="n">
        <v>0.6583544610771842</v>
      </c>
      <c r="K1544" t="n">
        <v>0.0168526873309233</v>
      </c>
      <c r="L1544" t="b">
        <v>0</v>
      </c>
      <c r="M1544" t="b">
        <v>0</v>
      </c>
      <c r="N1544" t="inlineStr">
        <is>
          <t>alt</t>
        </is>
      </c>
      <c r="O1544" t="n">
        <v>-75</v>
      </c>
      <c r="P1544" t="n">
        <v>0.004868</v>
      </c>
      <c r="Q1544" t="n">
        <v>25</v>
      </c>
      <c r="R1544" t="n">
        <v>0.01544</v>
      </c>
      <c r="S1544">
        <f>IMAGE("https://mitra.stanford.edu/kundaje/oak/projects/neuro-variants/variant_position/credible/roussos_2024/variant_figures/roussos_2024.infant.GLU/rs2126202_count_position.png",4,220,900)</f>
        <v/>
      </c>
      <c r="T1544">
        <f>IMAGE("https://mitra.stanford.edu/kundaje/oak/projects/neuro-variants/variant_position/credible/roussos_2024/variant_figures/roussos_2024.infant.GLU/rs2126202_profile_position.png",4,220,900)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0.198356226</v>
      </c>
      <c r="G1545" t="n">
        <v>0.0105217095238686</v>
      </c>
      <c r="H1545" t="n">
        <v>0.0290015384311403</v>
      </c>
      <c r="I1545" t="n">
        <v>0.0651160289071764</v>
      </c>
      <c r="J1545" t="n">
        <v>0.0504354152428404</v>
      </c>
      <c r="K1545" t="n">
        <v>0.3455637367528524</v>
      </c>
      <c r="L1545" t="b">
        <v>1</v>
      </c>
      <c r="M1545" t="b">
        <v>0</v>
      </c>
      <c r="N1545" t="inlineStr">
        <is>
          <t>alt</t>
        </is>
      </c>
      <c r="O1545" t="n">
        <v>70</v>
      </c>
      <c r="P1545" t="n">
        <v>0.00961</v>
      </c>
      <c r="Q1545" t="n">
        <v>70</v>
      </c>
      <c r="R1545" t="n">
        <v>0.05615</v>
      </c>
      <c r="S1545">
        <f>IMAGE("https://mitra.stanford.edu/kundaje/oak/projects/neuro-variants/variant_position/credible/roussos_2024/variant_figures/roussos_2024.infant.GLU/rs143499_count_position.png",4,220,900)</f>
        <v/>
      </c>
      <c r="T1545">
        <f>IMAGE("https://mitra.stanford.edu/kundaje/oak/projects/neuro-variants/variant_position/credible/roussos_2024/variant_figures/roussos_2024.infant.GLU/rs143499_profile_position.png",4,220,900)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0.000544109926</v>
      </c>
      <c r="G1546" t="n">
        <v>0.9629422347869347</v>
      </c>
      <c r="H1546" t="n">
        <v>0.0064880489324071</v>
      </c>
      <c r="I1546" t="n">
        <v>0.9800080944305098</v>
      </c>
      <c r="J1546" t="n">
        <v>0.2228576467735178</v>
      </c>
      <c r="K1546" t="n">
        <v>0.09738199871430379</v>
      </c>
      <c r="L1546" t="b">
        <v>0</v>
      </c>
      <c r="M1546" t="b">
        <v>0</v>
      </c>
      <c r="N1546" t="inlineStr">
        <is>
          <t>alt</t>
        </is>
      </c>
      <c r="O1546" t="n">
        <v>-100</v>
      </c>
      <c r="P1546" t="n">
        <v>0.001957</v>
      </c>
      <c r="Q1546" t="n">
        <v>-100</v>
      </c>
      <c r="R1546" t="n">
        <v>0.07184</v>
      </c>
      <c r="S1546">
        <f>IMAGE("https://mitra.stanford.edu/kundaje/oak/projects/neuro-variants/variant_position/credible/roussos_2024/variant_figures/roussos_2024.infant.GLU/rs7212249_count_position.png",4,220,900)</f>
        <v/>
      </c>
      <c r="T1546">
        <f>IMAGE("https://mitra.stanford.edu/kundaje/oak/projects/neuro-variants/variant_position/credible/roussos_2024/variant_figures/roussos_2024.infant.GLU/rs7212249_profile_position.png",4,220,900)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0.0319987508</v>
      </c>
      <c r="G1547" t="n">
        <v>0.2925178263387287</v>
      </c>
      <c r="H1547" t="n">
        <v>0.0341013559113749</v>
      </c>
      <c r="I1547" t="n">
        <v>0.0372212009721123</v>
      </c>
      <c r="J1547" t="n">
        <v>0.0073282038845653</v>
      </c>
      <c r="K1547" t="n">
        <v>0.7016147346248227</v>
      </c>
      <c r="L1547" t="b">
        <v>0</v>
      </c>
      <c r="M1547" t="b">
        <v>0</v>
      </c>
      <c r="N1547" t="inlineStr">
        <is>
          <t>alt</t>
        </is>
      </c>
      <c r="O1547" t="n">
        <v>75</v>
      </c>
      <c r="P1547" t="n">
        <v>0.002245</v>
      </c>
      <c r="Q1547" t="n">
        <v>-70</v>
      </c>
      <c r="R1547" t="n">
        <v>0.10364</v>
      </c>
      <c r="S1547">
        <f>IMAGE("https://mitra.stanford.edu/kundaje/oak/projects/neuro-variants/variant_position/credible/roussos_2024/variant_figures/roussos_2024.infant.GLU/rs2169356_count_position.png",4,220,900)</f>
        <v/>
      </c>
      <c r="T1547">
        <f>IMAGE("https://mitra.stanford.edu/kundaje/oak/projects/neuro-variants/variant_position/credible/roussos_2024/variant_figures/roussos_2024.infant.GLU/rs2169356_profile_position.png",4,220,900)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0.106431786</v>
      </c>
      <c r="G1548" t="n">
        <v>0.0492279724318598</v>
      </c>
      <c r="H1548" t="n">
        <v>0.0151512785259465</v>
      </c>
      <c r="I1548" t="n">
        <v>0.3559401878859002</v>
      </c>
      <c r="J1548" t="n">
        <v>0.3829625873586278</v>
      </c>
      <c r="K1548" t="n">
        <v>0.0483134993605912</v>
      </c>
      <c r="L1548" t="b">
        <v>0</v>
      </c>
      <c r="M1548" t="b">
        <v>0</v>
      </c>
      <c r="N1548" t="inlineStr">
        <is>
          <t>alt</t>
        </is>
      </c>
      <c r="O1548" t="n">
        <v>-100</v>
      </c>
      <c r="P1548" t="n">
        <v>0.01135</v>
      </c>
      <c r="Q1548" t="n">
        <v>-85</v>
      </c>
      <c r="R1548" t="n">
        <v>0.0708</v>
      </c>
      <c r="S1548">
        <f>IMAGE("https://mitra.stanford.edu/kundaje/oak/projects/neuro-variants/variant_position/credible/roussos_2024/variant_figures/roussos_2024.infant.GLU/rs216218_count_position.png",4,220,900)</f>
        <v/>
      </c>
      <c r="T1548">
        <f>IMAGE("https://mitra.stanford.edu/kundaje/oak/projects/neuro-variants/variant_position/credible/roussos_2024/variant_figures/roussos_2024.infant.GLU/rs216218_profile_position.png",4,220,900)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-0.1652023859999999</v>
      </c>
      <c r="G1549" t="n">
        <v>0.0172843144108461</v>
      </c>
      <c r="H1549" t="n">
        <v>0.0323430861876184</v>
      </c>
      <c r="I1549" t="n">
        <v>0.0448507189576307</v>
      </c>
      <c r="J1549" t="n">
        <v>0.119792103000507</v>
      </c>
      <c r="K1549" t="n">
        <v>0.1777371380563158</v>
      </c>
      <c r="L1549" t="b">
        <v>1</v>
      </c>
      <c r="M1549" t="b">
        <v>0</v>
      </c>
      <c r="N1549" t="inlineStr">
        <is>
          <t>ref</t>
        </is>
      </c>
      <c r="O1549" t="n">
        <v>35</v>
      </c>
      <c r="P1549" t="n">
        <v>0.00928</v>
      </c>
      <c r="Q1549" t="n">
        <v>35</v>
      </c>
      <c r="R1549" t="n">
        <v>0.00537</v>
      </c>
      <c r="S1549">
        <f>IMAGE("https://mitra.stanford.edu/kundaje/oak/projects/neuro-variants/variant_position/credible/roussos_2024/variant_figures/roussos_2024.infant.GLU/rs216224_count_position.png",4,220,900)</f>
        <v/>
      </c>
      <c r="T1549">
        <f>IMAGE("https://mitra.stanford.edu/kundaje/oak/projects/neuro-variants/variant_position/credible/roussos_2024/variant_figures/roussos_2024.infant.GLU/rs216224_profile_position.png",4,220,900)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0.1133153968</v>
      </c>
      <c r="G1550" t="n">
        <v>0.0392564544036803</v>
      </c>
      <c r="H1550" t="n">
        <v>0.0169906402242688</v>
      </c>
      <c r="I1550" t="n">
        <v>0.2753324004741532</v>
      </c>
      <c r="J1550" t="n">
        <v>0.3146453845984258</v>
      </c>
      <c r="K1550" t="n">
        <v>0.0630509353436257</v>
      </c>
      <c r="L1550" t="b">
        <v>0</v>
      </c>
      <c r="M1550" t="b">
        <v>0</v>
      </c>
      <c r="N1550" t="inlineStr">
        <is>
          <t>alt</t>
        </is>
      </c>
      <c r="O1550" t="n">
        <v>100</v>
      </c>
      <c r="P1550" t="n">
        <v>0.006348</v>
      </c>
      <c r="Q1550" t="n">
        <v>25</v>
      </c>
      <c r="R1550" t="n">
        <v>0.042</v>
      </c>
      <c r="S1550">
        <f>IMAGE("https://mitra.stanford.edu/kundaje/oak/projects/neuro-variants/variant_position/credible/roussos_2024/variant_figures/roussos_2024.infant.GLU/rs12950555_count_position.png",4,220,900)</f>
        <v/>
      </c>
      <c r="T1550">
        <f>IMAGE("https://mitra.stanford.edu/kundaje/oak/projects/neuro-variants/variant_position/credible/roussos_2024/variant_figures/roussos_2024.infant.GLU/rs12950555_profile_position.png",4,220,900)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0.0338637423999999</v>
      </c>
      <c r="G1551" t="n">
        <v>0.2725593295324222</v>
      </c>
      <c r="H1551" t="n">
        <v>0.0652334769552496</v>
      </c>
      <c r="I1551" t="n">
        <v>0.0019821868498486</v>
      </c>
      <c r="J1551" t="n">
        <v>0.0160276902048104</v>
      </c>
      <c r="K1551" t="n">
        <v>0.5758359529331457</v>
      </c>
      <c r="L1551" t="b">
        <v>1</v>
      </c>
      <c r="M1551" t="b">
        <v>0</v>
      </c>
      <c r="N1551" t="inlineStr">
        <is>
          <t>alt</t>
        </is>
      </c>
      <c r="O1551" t="n">
        <v>55</v>
      </c>
      <c r="P1551" t="n">
        <v>0.0431</v>
      </c>
      <c r="Q1551" t="n">
        <v>-85</v>
      </c>
      <c r="R1551" t="n">
        <v>0.1006</v>
      </c>
      <c r="S1551">
        <f>IMAGE("https://mitra.stanford.edu/kundaje/oak/projects/neuro-variants/variant_position/credible/roussos_2024/variant_figures/roussos_2024.infant.GLU/rs9891227_count_position.png",4,220,900)</f>
        <v/>
      </c>
      <c r="T1551">
        <f>IMAGE("https://mitra.stanford.edu/kundaje/oak/projects/neuro-variants/variant_position/credible/roussos_2024/variant_figures/roussos_2024.infant.GLU/rs9891227_profile_position.png",4,220,900)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-0.0300121772</v>
      </c>
      <c r="G1552" t="n">
        <v>0.3252799105727963</v>
      </c>
      <c r="H1552" t="n">
        <v>0.0102075471082426</v>
      </c>
      <c r="I1552" t="n">
        <v>0.7183924441536007</v>
      </c>
      <c r="J1552" t="n">
        <v>0.012409885579488</v>
      </c>
      <c r="K1552" t="n">
        <v>0.6213205432675035</v>
      </c>
      <c r="L1552" t="b">
        <v>0</v>
      </c>
      <c r="M1552" t="b">
        <v>0</v>
      </c>
      <c r="N1552" t="inlineStr">
        <is>
          <t>ref</t>
        </is>
      </c>
      <c r="O1552" t="n">
        <v>55</v>
      </c>
      <c r="P1552" t="n">
        <v>7.25e-05</v>
      </c>
      <c r="Q1552" t="n">
        <v>25</v>
      </c>
      <c r="R1552" t="n">
        <v>0.0654</v>
      </c>
      <c r="S1552">
        <f>IMAGE("https://mitra.stanford.edu/kundaje/oak/projects/neuro-variants/variant_position/credible/roussos_2024/variant_figures/roussos_2024.infant.GLU/rs216176_count_position.png",4,220,900)</f>
        <v/>
      </c>
      <c r="T1552">
        <f>IMAGE("https://mitra.stanford.edu/kundaje/oak/projects/neuro-variants/variant_position/credible/roussos_2024/variant_figures/roussos_2024.infant.GLU/rs216176_profile_position.png",4,220,900)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0.012580718396</v>
      </c>
      <c r="G1553" t="n">
        <v>0.5952381142910002</v>
      </c>
      <c r="H1553" t="n">
        <v>0.0108185402047361</v>
      </c>
      <c r="I1553" t="n">
        <v>0.6612251680383358</v>
      </c>
      <c r="J1553" t="n">
        <v>0.0543475385259815</v>
      </c>
      <c r="K1553" t="n">
        <v>0.3315838784568673</v>
      </c>
      <c r="L1553" t="b">
        <v>0</v>
      </c>
      <c r="M1553" t="b">
        <v>0</v>
      </c>
      <c r="N1553" t="inlineStr">
        <is>
          <t>alt</t>
        </is>
      </c>
      <c r="O1553" t="n">
        <v>80</v>
      </c>
      <c r="P1553" t="n">
        <v>0.2834</v>
      </c>
      <c r="Q1553" t="n">
        <v>-100</v>
      </c>
      <c r="R1553" t="n">
        <v>0.06775</v>
      </c>
      <c r="S1553">
        <f>IMAGE("https://mitra.stanford.edu/kundaje/oak/projects/neuro-variants/variant_position/credible/roussos_2024/variant_figures/roussos_2024.infant.GLU/rs1122645_count_position.png",4,220,900)</f>
        <v/>
      </c>
      <c r="T1553">
        <f>IMAGE("https://mitra.stanford.edu/kundaje/oak/projects/neuro-variants/variant_position/credible/roussos_2024/variant_figures/roussos_2024.infant.GLU/rs1122645_profile_position.png",4,220,900)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0.115627995</v>
      </c>
      <c r="G1554" t="n">
        <v>0.0386191319261929</v>
      </c>
      <c r="H1554" t="n">
        <v>0.0224657019122925</v>
      </c>
      <c r="I1554" t="n">
        <v>0.1365208957014043</v>
      </c>
      <c r="J1554" t="n">
        <v>0.0287010295641437</v>
      </c>
      <c r="K1554" t="n">
        <v>0.4634626503175382</v>
      </c>
      <c r="L1554" t="b">
        <v>0</v>
      </c>
      <c r="M1554" t="b">
        <v>0</v>
      </c>
      <c r="N1554" t="inlineStr">
        <is>
          <t>alt</t>
        </is>
      </c>
      <c r="O1554" t="n">
        <v>80</v>
      </c>
      <c r="P1554" t="n">
        <v>0.00155</v>
      </c>
      <c r="Q1554" t="n">
        <v>-80</v>
      </c>
      <c r="R1554" t="n">
        <v>0.0985</v>
      </c>
      <c r="S1554">
        <f>IMAGE("https://mitra.stanford.edu/kundaje/oak/projects/neuro-variants/variant_position/credible/roussos_2024/variant_figures/roussos_2024.infant.GLU/rs11869805_count_position.png",4,220,900)</f>
        <v/>
      </c>
      <c r="T1554">
        <f>IMAGE("https://mitra.stanford.edu/kundaje/oak/projects/neuro-variants/variant_position/credible/roussos_2024/variant_figures/roussos_2024.infant.GLU/rs11869805_profile_position.png",4,220,900)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0.0343796482</v>
      </c>
      <c r="G1555" t="n">
        <v>0.2707468824399933</v>
      </c>
      <c r="H1555" t="n">
        <v>0.010338725077161</v>
      </c>
      <c r="I1555" t="n">
        <v>0.7094886004197207</v>
      </c>
      <c r="J1555" t="n">
        <v>0.06396084569765639</v>
      </c>
      <c r="K1555" t="n">
        <v>0.2943039579353494</v>
      </c>
      <c r="L1555" t="b">
        <v>0</v>
      </c>
      <c r="M1555" t="b">
        <v>0</v>
      </c>
      <c r="N1555" t="inlineStr">
        <is>
          <t>alt</t>
        </is>
      </c>
      <c r="O1555" t="n">
        <v>85</v>
      </c>
      <c r="P1555" t="n">
        <v>0.0358</v>
      </c>
      <c r="Q1555" t="n">
        <v>10</v>
      </c>
      <c r="R1555" t="n">
        <v>0.02032</v>
      </c>
      <c r="S1555">
        <f>IMAGE("https://mitra.stanford.edu/kundaje/oak/projects/neuro-variants/variant_position/credible/roussos_2024/variant_figures/roussos_2024.infant.GLU/rs6502155_count_position.png",4,220,900)</f>
        <v/>
      </c>
      <c r="T1555">
        <f>IMAGE("https://mitra.stanford.edu/kundaje/oak/projects/neuro-variants/variant_position/credible/roussos_2024/variant_figures/roussos_2024.infant.GLU/rs6502155_profile_position.png",4,220,900)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0.2071586479999999</v>
      </c>
      <c r="G1556" t="n">
        <v>0.009540720150965199</v>
      </c>
      <c r="H1556" t="n">
        <v>0.03258007077993</v>
      </c>
      <c r="I1556" t="n">
        <v>0.0441649146524565</v>
      </c>
      <c r="J1556" t="n">
        <v>0.1676624264203355</v>
      </c>
      <c r="K1556" t="n">
        <v>0.1425827600135256</v>
      </c>
      <c r="L1556" t="b">
        <v>1</v>
      </c>
      <c r="M1556" t="b">
        <v>1</v>
      </c>
      <c r="N1556" t="inlineStr">
        <is>
          <t>alt</t>
        </is>
      </c>
      <c r="O1556" t="n">
        <v>-100</v>
      </c>
      <c r="P1556" t="n">
        <v>0.01932</v>
      </c>
      <c r="Q1556" t="n">
        <v>-70</v>
      </c>
      <c r="R1556" t="n">
        <v>0.0697</v>
      </c>
      <c r="S1556">
        <f>IMAGE("https://mitra.stanford.edu/kundaje/oak/projects/neuro-variants/variant_position/credible/roussos_2024/variant_figures/roussos_2024.infant.GLU/rs749240_count_position.png",4,220,900)</f>
        <v/>
      </c>
      <c r="T1556">
        <f>IMAGE("https://mitra.stanford.edu/kundaje/oak/projects/neuro-variants/variant_position/credible/roussos_2024/variant_figures/roussos_2024.infant.GLU/rs749240_profile_position.png",4,220,900)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-0.0121491632399999</v>
      </c>
      <c r="G1557" t="n">
        <v>0.5574520179879082</v>
      </c>
      <c r="H1557" t="n">
        <v>0.0104586287218006</v>
      </c>
      <c r="I1557" t="n">
        <v>0.6999149041762609</v>
      </c>
      <c r="J1557" t="n">
        <v>0.0997310346348023</v>
      </c>
      <c r="K1557" t="n">
        <v>0.2069318184747832</v>
      </c>
      <c r="L1557" t="b">
        <v>0</v>
      </c>
      <c r="M1557" t="b">
        <v>0</v>
      </c>
      <c r="N1557" t="inlineStr">
        <is>
          <t>ref</t>
        </is>
      </c>
      <c r="O1557" t="n">
        <v>-100</v>
      </c>
      <c r="P1557" t="n">
        <v>0.00644</v>
      </c>
      <c r="Q1557" t="n">
        <v>-20</v>
      </c>
      <c r="R1557" t="n">
        <v>0.06213</v>
      </c>
      <c r="S1557">
        <f>IMAGE("https://mitra.stanford.edu/kundaje/oak/projects/neuro-variants/variant_position/credible/roussos_2024/variant_figures/roussos_2024.infant.GLU/rs410378_count_position.png",4,220,900)</f>
        <v/>
      </c>
      <c r="T1557">
        <f>IMAGE("https://mitra.stanford.edu/kundaje/oak/projects/neuro-variants/variant_position/credible/roussos_2024/variant_figures/roussos_2024.infant.GLU/rs410378_profile_position.png",4,220,900)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0.0152953833999999</v>
      </c>
      <c r="G1558" t="n">
        <v>0.5122515157207295</v>
      </c>
      <c r="H1558" t="n">
        <v>0.0102883789955833</v>
      </c>
      <c r="I1558" t="n">
        <v>0.7056701392604053</v>
      </c>
      <c r="J1558" t="n">
        <v>0.0311691174849533</v>
      </c>
      <c r="K1558" t="n">
        <v>0.4584382173718409</v>
      </c>
      <c r="L1558" t="b">
        <v>0</v>
      </c>
      <c r="M1558" t="b">
        <v>0</v>
      </c>
      <c r="N1558" t="inlineStr">
        <is>
          <t>alt</t>
        </is>
      </c>
      <c r="O1558" t="n">
        <v>-55</v>
      </c>
      <c r="P1558" t="n">
        <v>0.009900000000000001</v>
      </c>
      <c r="Q1558" t="n">
        <v>-70</v>
      </c>
      <c r="R1558" t="n">
        <v>0.1997</v>
      </c>
      <c r="S1558">
        <f>IMAGE("https://mitra.stanford.edu/kundaje/oak/projects/neuro-variants/variant_position/credible/roussos_2024/variant_figures/roussos_2024.infant.GLU/rs216202_count_position.png",4,220,900)</f>
        <v/>
      </c>
      <c r="T1558">
        <f>IMAGE("https://mitra.stanford.edu/kundaje/oak/projects/neuro-variants/variant_position/credible/roussos_2024/variant_figures/roussos_2024.infant.GLU/rs216202_profile_position.png",4,220,900)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0.1981070572</v>
      </c>
      <c r="G1559" t="n">
        <v>0.0144146608376577</v>
      </c>
      <c r="H1559" t="n">
        <v>0.0386324529867167</v>
      </c>
      <c r="I1559" t="n">
        <v>0.0245489080746924</v>
      </c>
      <c r="J1559" t="n">
        <v>0.3341453735752552</v>
      </c>
      <c r="K1559" t="n">
        <v>0.0595623281020409</v>
      </c>
      <c r="L1559" t="b">
        <v>1</v>
      </c>
      <c r="M1559" t="b">
        <v>0</v>
      </c>
      <c r="N1559" t="inlineStr">
        <is>
          <t>alt</t>
        </is>
      </c>
      <c r="O1559" t="n">
        <v>-95</v>
      </c>
      <c r="P1559" t="n">
        <v>0.0741</v>
      </c>
      <c r="Q1559" t="n">
        <v>-100</v>
      </c>
      <c r="R1559" t="n">
        <v>0.1392</v>
      </c>
      <c r="S1559">
        <f>IMAGE("https://mitra.stanford.edu/kundaje/oak/projects/neuro-variants/variant_position/credible/roussos_2024/variant_figures/roussos_2024.infant.GLU/rs216201_count_position.png",4,220,900)</f>
        <v/>
      </c>
      <c r="T1559">
        <f>IMAGE("https://mitra.stanford.edu/kundaje/oak/projects/neuro-variants/variant_position/credible/roussos_2024/variant_figures/roussos_2024.infant.GLU/rs216201_profile_position.png",4,220,900)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0.004774859294</v>
      </c>
      <c r="G1560" t="n">
        <v>0.7986197756549384</v>
      </c>
      <c r="H1560" t="n">
        <v>0.0121466976593542</v>
      </c>
      <c r="I1560" t="n">
        <v>0.5505671647926694</v>
      </c>
      <c r="J1560" t="n">
        <v>0.0210465398267157</v>
      </c>
      <c r="K1560" t="n">
        <v>0.532994365148402</v>
      </c>
      <c r="L1560" t="b">
        <v>0</v>
      </c>
      <c r="M1560" t="b">
        <v>0</v>
      </c>
      <c r="N1560" t="inlineStr">
        <is>
          <t>alt</t>
        </is>
      </c>
      <c r="O1560" t="n">
        <v>100</v>
      </c>
      <c r="P1560" t="n">
        <v>0.005096</v>
      </c>
      <c r="Q1560" t="n">
        <v>80</v>
      </c>
      <c r="R1560" t="n">
        <v>0.0223</v>
      </c>
      <c r="S1560">
        <f>IMAGE("https://mitra.stanford.edu/kundaje/oak/projects/neuro-variants/variant_position/credible/roussos_2024/variant_figures/roussos_2024.infant.GLU/rs394752_count_position.png",4,220,900)</f>
        <v/>
      </c>
      <c r="T1560">
        <f>IMAGE("https://mitra.stanford.edu/kundaje/oak/projects/neuro-variants/variant_position/credible/roussos_2024/variant_figures/roussos_2024.infant.GLU/rs394752_profile_position.png",4,220,900)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0.0246164738</v>
      </c>
      <c r="G1561" t="n">
        <v>0.3720095759229828</v>
      </c>
      <c r="H1561" t="n">
        <v>0.009401807181966799</v>
      </c>
      <c r="I1561" t="n">
        <v>0.7959310389215623</v>
      </c>
      <c r="J1561" t="n">
        <v>0.494529200379197</v>
      </c>
      <c r="K1561" t="n">
        <v>0.0317681381143815</v>
      </c>
      <c r="L1561" t="b">
        <v>0</v>
      </c>
      <c r="M1561" t="b">
        <v>0</v>
      </c>
      <c r="N1561" t="inlineStr">
        <is>
          <t>alt</t>
        </is>
      </c>
      <c r="O1561" t="n">
        <v>75</v>
      </c>
      <c r="P1561" t="n">
        <v>0.00293</v>
      </c>
      <c r="Q1561" t="n">
        <v>100</v>
      </c>
      <c r="R1561" t="n">
        <v>0.035</v>
      </c>
      <c r="S1561">
        <f>IMAGE("https://mitra.stanford.edu/kundaje/oak/projects/neuro-variants/variant_position/credible/roussos_2024/variant_figures/roussos_2024.infant.GLU/rs216197_count_position.png",4,220,900)</f>
        <v/>
      </c>
      <c r="T1561">
        <f>IMAGE("https://mitra.stanford.edu/kundaje/oak/projects/neuro-variants/variant_position/credible/roussos_2024/variant_figures/roussos_2024.infant.GLU/rs216197_profile_position.png",4,220,900)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0.0247295867999999</v>
      </c>
      <c r="G1562" t="n">
        <v>0.3734239954663955</v>
      </c>
      <c r="H1562" t="n">
        <v>0.0102546346034909</v>
      </c>
      <c r="I1562" t="n">
        <v>0.7079700404444143</v>
      </c>
      <c r="J1562" t="n">
        <v>0.4880597014925373</v>
      </c>
      <c r="K1562" t="n">
        <v>0.0322777583427485</v>
      </c>
      <c r="L1562" t="b">
        <v>0</v>
      </c>
      <c r="M1562" t="b">
        <v>0</v>
      </c>
      <c r="N1562" t="inlineStr">
        <is>
          <t>alt</t>
        </is>
      </c>
      <c r="O1562" t="n">
        <v>10</v>
      </c>
      <c r="P1562" t="n">
        <v>0.000519</v>
      </c>
      <c r="Q1562" t="n">
        <v>-65</v>
      </c>
      <c r="R1562" t="n">
        <v>0.002441</v>
      </c>
      <c r="S1562">
        <f>IMAGE("https://mitra.stanford.edu/kundaje/oak/projects/neuro-variants/variant_position/credible/roussos_2024/variant_figures/roussos_2024.infant.GLU/rs216196_count_position.png",4,220,900)</f>
        <v/>
      </c>
      <c r="T1562">
        <f>IMAGE("https://mitra.stanford.edu/kundaje/oak/projects/neuro-variants/variant_position/credible/roussos_2024/variant_figures/roussos_2024.infant.GLU/rs216196_profile_position.png",4,220,900)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-0.0539898958</v>
      </c>
      <c r="G1563" t="n">
        <v>0.1550011084750856</v>
      </c>
      <c r="H1563" t="n">
        <v>0.0182300193779548</v>
      </c>
      <c r="I1563" t="n">
        <v>0.2311635143010485</v>
      </c>
      <c r="J1563" t="n">
        <v>0.2546087876716859</v>
      </c>
      <c r="K1563" t="n">
        <v>0.0833098784485041</v>
      </c>
      <c r="L1563" t="b">
        <v>0</v>
      </c>
      <c r="M1563" t="b">
        <v>0</v>
      </c>
      <c r="N1563" t="inlineStr">
        <is>
          <t>ref</t>
        </is>
      </c>
      <c r="O1563" t="n">
        <v>40</v>
      </c>
      <c r="P1563" t="n">
        <v>0.003357</v>
      </c>
      <c r="Q1563" t="n">
        <v>100</v>
      </c>
      <c r="R1563" t="n">
        <v>0.2861</v>
      </c>
      <c r="S1563">
        <f>IMAGE("https://mitra.stanford.edu/kundaje/oak/projects/neuro-variants/variant_position/credible/roussos_2024/variant_figures/roussos_2024.infant.GLU/rs2224770_count_position.png",4,220,900)</f>
        <v/>
      </c>
      <c r="T1563">
        <f>IMAGE("https://mitra.stanford.edu/kundaje/oak/projects/neuro-variants/variant_position/credible/roussos_2024/variant_figures/roussos_2024.infant.GLU/rs2224770_profile_position.png",4,220,900)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0.0619957997999999</v>
      </c>
      <c r="G1564" t="n">
        <v>0.1213143403536947</v>
      </c>
      <c r="H1564" t="n">
        <v>0.0116848296753673</v>
      </c>
      <c r="I1564" t="n">
        <v>0.5831345709161964</v>
      </c>
      <c r="J1564" t="n">
        <v>0.0151348133777199</v>
      </c>
      <c r="K1564" t="n">
        <v>0.5896490559622551</v>
      </c>
      <c r="L1564" t="b">
        <v>0</v>
      </c>
      <c r="M1564" t="b">
        <v>0</v>
      </c>
      <c r="N1564" t="inlineStr">
        <is>
          <t>alt</t>
        </is>
      </c>
      <c r="O1564" t="n">
        <v>-5</v>
      </c>
      <c r="P1564" t="n">
        <v>0.0004272</v>
      </c>
      <c r="Q1564" t="n">
        <v>-50</v>
      </c>
      <c r="R1564" t="n">
        <v>0.03662</v>
      </c>
      <c r="S1564">
        <f>IMAGE("https://mitra.stanford.edu/kundaje/oak/projects/neuro-variants/variant_position/credible/roussos_2024/variant_figures/roussos_2024.infant.GLU/rs391300_count_position.png",4,220,900)</f>
        <v/>
      </c>
      <c r="T1564">
        <f>IMAGE("https://mitra.stanford.edu/kundaje/oak/projects/neuro-variants/variant_position/credible/roussos_2024/variant_figures/roussos_2024.infant.GLU/rs391300_profile_position.png",4,220,900)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-0.466651912</v>
      </c>
      <c r="G1565" t="n">
        <v>0.0005968191015357</v>
      </c>
      <c r="H1565" t="n">
        <v>0.0607793665422696</v>
      </c>
      <c r="I1565" t="n">
        <v>0.0032394566022747</v>
      </c>
      <c r="J1565" t="n">
        <v>0.2973533367137723</v>
      </c>
      <c r="K1565" t="n">
        <v>0.0692330098495717</v>
      </c>
      <c r="L1565" t="b">
        <v>1</v>
      </c>
      <c r="M1565" t="b">
        <v>1</v>
      </c>
      <c r="N1565" t="inlineStr">
        <is>
          <t>ref</t>
        </is>
      </c>
      <c r="O1565" t="n">
        <v>-20</v>
      </c>
      <c r="P1565" t="n">
        <v>0.00293</v>
      </c>
      <c r="Q1565" t="n">
        <v>30</v>
      </c>
      <c r="R1565" t="n">
        <v>0.12036</v>
      </c>
      <c r="S1565">
        <f>IMAGE("https://mitra.stanford.edu/kundaje/oak/projects/neuro-variants/variant_position/credible/roussos_2024/variant_figures/roussos_2024.infant.GLU/rs28756069_count_position.png",4,220,900)</f>
        <v/>
      </c>
      <c r="T1565">
        <f>IMAGE("https://mitra.stanford.edu/kundaje/oak/projects/neuro-variants/variant_position/credible/roussos_2024/variant_figures/roussos_2024.infant.GLU/rs28756069_profile_position.png",4,220,900)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0.000196273528</v>
      </c>
      <c r="G1566" t="n">
        <v>0.8787784254803324</v>
      </c>
      <c r="H1566" t="n">
        <v>0.0430696139594523</v>
      </c>
      <c r="I1566" t="n">
        <v>0.0148567440135408</v>
      </c>
      <c r="J1566" t="n">
        <v>0.0209407173879494</v>
      </c>
      <c r="K1566" t="n">
        <v>0.5254760453056253</v>
      </c>
      <c r="L1566" t="b">
        <v>1</v>
      </c>
      <c r="M1566" t="b">
        <v>0</v>
      </c>
      <c r="N1566" t="inlineStr">
        <is>
          <t>alt</t>
        </is>
      </c>
      <c r="O1566" t="n">
        <v>55</v>
      </c>
      <c r="P1566" t="n">
        <v>0.003998</v>
      </c>
      <c r="Q1566" t="n">
        <v>65</v>
      </c>
      <c r="R1566" t="n">
        <v>0.1971</v>
      </c>
      <c r="S1566">
        <f>IMAGE("https://mitra.stanford.edu/kundaje/oak/projects/neuro-variants/variant_position/credible/roussos_2024/variant_figures/roussos_2024.infant.GLU/rs9913489_count_position.png",4,220,900)</f>
        <v/>
      </c>
      <c r="T1566">
        <f>IMAGE("https://mitra.stanford.edu/kundaje/oak/projects/neuro-variants/variant_position/credible/roussos_2024/variant_figures/roussos_2024.infant.GLU/rs9913489_profile_position.png",4,220,900)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0.0475199771999999</v>
      </c>
      <c r="G1567" t="n">
        <v>0.1760084639165228</v>
      </c>
      <c r="H1567" t="n">
        <v>0.0136773441576213</v>
      </c>
      <c r="I1567" t="n">
        <v>0.4354179003115949</v>
      </c>
      <c r="J1567" t="n">
        <v>0.0070184527877598</v>
      </c>
      <c r="K1567" t="n">
        <v>0.7226013730282876</v>
      </c>
      <c r="L1567" t="b">
        <v>0</v>
      </c>
      <c r="M1567" t="b">
        <v>0</v>
      </c>
      <c r="N1567" t="inlineStr">
        <is>
          <t>alt</t>
        </is>
      </c>
      <c r="O1567" t="n">
        <v>-35</v>
      </c>
      <c r="P1567" t="n">
        <v>0.03403</v>
      </c>
      <c r="Q1567" t="n">
        <v>95</v>
      </c>
      <c r="R1567" t="n">
        <v>0.09656000000000001</v>
      </c>
      <c r="S1567">
        <f>IMAGE("https://mitra.stanford.edu/kundaje/oak/projects/neuro-variants/variant_position/credible/roussos_2024/variant_figures/roussos_2024.infant.GLU/rs11868068_count_position.png",4,220,900)</f>
        <v/>
      </c>
      <c r="T1567">
        <f>IMAGE("https://mitra.stanford.edu/kundaje/oak/projects/neuro-variants/variant_position/credible/roussos_2024/variant_figures/roussos_2024.infant.GLU/rs11868068_profile_position.png",4,220,900)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0.0339987204</v>
      </c>
      <c r="G1568" t="n">
        <v>0.2719933276734859</v>
      </c>
      <c r="H1568" t="n">
        <v>0.0447439097896358</v>
      </c>
      <c r="I1568" t="n">
        <v>0.0126018847541493</v>
      </c>
      <c r="J1568" t="n">
        <v>0.07261844396922321</v>
      </c>
      <c r="K1568" t="n">
        <v>0.2794633598967672</v>
      </c>
      <c r="L1568" t="b">
        <v>1</v>
      </c>
      <c r="M1568" t="b">
        <v>0</v>
      </c>
      <c r="N1568" t="inlineStr">
        <is>
          <t>alt</t>
        </is>
      </c>
      <c r="O1568" t="n">
        <v>35</v>
      </c>
      <c r="P1568" t="n">
        <v>0.01538</v>
      </c>
      <c r="Q1568" t="n">
        <v>75</v>
      </c>
      <c r="R1568" t="n">
        <v>0.1909</v>
      </c>
      <c r="S1568">
        <f>IMAGE("https://mitra.stanford.edu/kundaje/oak/projects/neuro-variants/variant_position/credible/roussos_2024/variant_figures/roussos_2024.infant.GLU/rs1866175_count_position.png",4,220,900)</f>
        <v/>
      </c>
      <c r="T1568">
        <f>IMAGE("https://mitra.stanford.edu/kundaje/oak/projects/neuro-variants/variant_position/credible/roussos_2024/variant_figures/roussos_2024.infant.GLU/rs1866175_profile_position.png",4,220,900)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-0.1098619639999999</v>
      </c>
      <c r="G1569" t="n">
        <v>0.04185142066046</v>
      </c>
      <c r="H1569" t="n">
        <v>0.0275119563246427</v>
      </c>
      <c r="I1569" t="n">
        <v>0.0754498093337183</v>
      </c>
      <c r="J1569" t="n">
        <v>0.0773099054211953</v>
      </c>
      <c r="K1569" t="n">
        <v>0.2584235543570635</v>
      </c>
      <c r="L1569" t="b">
        <v>0</v>
      </c>
      <c r="M1569" t="b">
        <v>0</v>
      </c>
      <c r="N1569" t="inlineStr">
        <is>
          <t>ref</t>
        </is>
      </c>
      <c r="O1569" t="n">
        <v>-100</v>
      </c>
      <c r="P1569" t="n">
        <v>0.09569999999999999</v>
      </c>
      <c r="Q1569" t="n">
        <v>-85</v>
      </c>
      <c r="R1569" t="n">
        <v>0.1592</v>
      </c>
      <c r="S1569">
        <f>IMAGE("https://mitra.stanford.edu/kundaje/oak/projects/neuro-variants/variant_position/credible/roussos_2024/variant_figures/roussos_2024.infant.GLU/rs9303185_count_position.png",4,220,900)</f>
        <v/>
      </c>
      <c r="T1569">
        <f>IMAGE("https://mitra.stanford.edu/kundaje/oak/projects/neuro-variants/variant_position/credible/roussos_2024/variant_figures/roussos_2024.infant.GLU/rs9303185_profile_position.png",4,220,900)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-0.06535914080000001</v>
      </c>
      <c r="G1570" t="n">
        <v>0.1120136665897595</v>
      </c>
      <c r="H1570" t="n">
        <v>0.0100980323069441</v>
      </c>
      <c r="I1570" t="n">
        <v>0.7170555135520337</v>
      </c>
      <c r="J1570" t="n">
        <v>0.085235565157962</v>
      </c>
      <c r="K1570" t="n">
        <v>0.2428270738771808</v>
      </c>
      <c r="L1570" t="b">
        <v>0</v>
      </c>
      <c r="M1570" t="b">
        <v>0</v>
      </c>
      <c r="N1570" t="inlineStr">
        <is>
          <t>ref</t>
        </is>
      </c>
      <c r="O1570" t="n">
        <v>-40</v>
      </c>
      <c r="P1570" t="n">
        <v>0.01419</v>
      </c>
      <c r="Q1570" t="n">
        <v>-95</v>
      </c>
      <c r="R1570" t="n">
        <v>0.1699</v>
      </c>
      <c r="S1570">
        <f>IMAGE("https://mitra.stanford.edu/kundaje/oak/projects/neuro-variants/variant_position/credible/roussos_2024/variant_figures/roussos_2024.infant.GLU/rs4456561_count_position.png",4,220,900)</f>
        <v/>
      </c>
      <c r="T1570">
        <f>IMAGE("https://mitra.stanford.edu/kundaje/oak/projects/neuro-variants/variant_position/credible/roussos_2024/variant_figures/roussos_2024.infant.GLU/rs4456561_profile_position.png",4,220,900)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0.0661236565</v>
      </c>
      <c r="G1571" t="n">
        <v>0.142495572065004</v>
      </c>
      <c r="H1571" t="n">
        <v>0.0129346987468131</v>
      </c>
      <c r="I1571" t="n">
        <v>0.4859193909661412</v>
      </c>
      <c r="J1571" t="n">
        <v>0.09605590952181479</v>
      </c>
      <c r="K1571" t="n">
        <v>0.2239157091322296</v>
      </c>
      <c r="L1571" t="b">
        <v>0</v>
      </c>
      <c r="M1571" t="b">
        <v>0</v>
      </c>
      <c r="N1571" t="inlineStr">
        <is>
          <t>alt</t>
        </is>
      </c>
      <c r="O1571" t="n">
        <v>0</v>
      </c>
      <c r="P1571" t="n">
        <v>0</v>
      </c>
      <c r="Q1571" t="n">
        <v>15</v>
      </c>
      <c r="R1571" t="n">
        <v>0.0675</v>
      </c>
      <c r="S1571">
        <f>IMAGE("https://mitra.stanford.edu/kundaje/oak/projects/neuro-variants/variant_position/credible/roussos_2024/variant_figures/roussos_2024.infant.GLU/rs34499321_count_position.png",4,220,900)</f>
        <v/>
      </c>
      <c r="T1571">
        <f>IMAGE("https://mitra.stanford.edu/kundaje/oak/projects/neuro-variants/variant_position/credible/roussos_2024/variant_figures/roussos_2024.infant.GLU/rs34499321_profile_position.png",4,220,900)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0.0554917311999999</v>
      </c>
      <c r="G1572" t="n">
        <v>0.1410847753676171</v>
      </c>
      <c r="H1572" t="n">
        <v>0.0127081097935548</v>
      </c>
      <c r="I1572" t="n">
        <v>0.5046868275626388</v>
      </c>
      <c r="J1572" t="n">
        <v>0.1192310236116316</v>
      </c>
      <c r="K1572" t="n">
        <v>0.1820523272629744</v>
      </c>
      <c r="L1572" t="b">
        <v>0</v>
      </c>
      <c r="M1572" t="b">
        <v>0</v>
      </c>
      <c r="N1572" t="inlineStr">
        <is>
          <t>alt</t>
        </is>
      </c>
      <c r="O1572" t="n">
        <v>75</v>
      </c>
      <c r="P1572" t="n">
        <v>0.09030000000000001</v>
      </c>
      <c r="Q1572" t="n">
        <v>80</v>
      </c>
      <c r="R1572" t="n">
        <v>0.2073</v>
      </c>
      <c r="S1572">
        <f>IMAGE("https://mitra.stanford.edu/kundaje/oak/projects/neuro-variants/variant_position/credible/roussos_2024/variant_figures/roussos_2024.infant.GLU/rs35513053_count_position.png",4,220,900)</f>
        <v/>
      </c>
      <c r="T1572">
        <f>IMAGE("https://mitra.stanford.edu/kundaje/oak/projects/neuro-variants/variant_position/credible/roussos_2024/variant_figures/roussos_2024.infant.GLU/rs35513053_profile_position.png",4,220,900)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0.008971429879999999</v>
      </c>
      <c r="G1573" t="n">
        <v>0.6670682189269966</v>
      </c>
      <c r="H1573" t="n">
        <v>0.0138709036018156</v>
      </c>
      <c r="I1573" t="n">
        <v>0.4259036561778784</v>
      </c>
      <c r="J1573" t="n">
        <v>0.9550331797438216</v>
      </c>
      <c r="K1573" t="n">
        <v>0.0009834184574291</v>
      </c>
      <c r="L1573" t="b">
        <v>0</v>
      </c>
      <c r="M1573" t="b">
        <v>0</v>
      </c>
      <c r="N1573" t="inlineStr">
        <is>
          <t>alt</t>
        </is>
      </c>
      <c r="O1573" t="n">
        <v>100</v>
      </c>
      <c r="P1573" t="n">
        <v>0.003391</v>
      </c>
      <c r="Q1573" t="n">
        <v>-100</v>
      </c>
      <c r="R1573" t="n">
        <v>0.03433</v>
      </c>
      <c r="S1573">
        <f>IMAGE("https://mitra.stanford.edu/kundaje/oak/projects/neuro-variants/variant_position/credible/roussos_2024/variant_figures/roussos_2024.infant.GLU/rs76655185_count_position.png",4,220,900)</f>
        <v/>
      </c>
      <c r="T1573">
        <f>IMAGE("https://mitra.stanford.edu/kundaje/oak/projects/neuro-variants/variant_position/credible/roussos_2024/variant_figures/roussos_2024.infant.GLU/rs76655185_profile_position.png",4,220,900)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-0.0304071698</v>
      </c>
      <c r="G1574" t="n">
        <v>0.3163575471827879</v>
      </c>
      <c r="H1574" t="n">
        <v>0.0159582118400104</v>
      </c>
      <c r="I1574" t="n">
        <v>0.3130659467333399</v>
      </c>
      <c r="J1574" t="n">
        <v>0.0592120637580193</v>
      </c>
      <c r="K1574" t="n">
        <v>0.3092329785441708</v>
      </c>
      <c r="L1574" t="b">
        <v>0</v>
      </c>
      <c r="M1574" t="b">
        <v>0</v>
      </c>
      <c r="N1574" t="inlineStr">
        <is>
          <t>ref</t>
        </is>
      </c>
      <c r="O1574" t="n">
        <v>65</v>
      </c>
      <c r="P1574" t="n">
        <v>0.1466</v>
      </c>
      <c r="Q1574" t="n">
        <v>60</v>
      </c>
      <c r="R1574" t="n">
        <v>0.0941</v>
      </c>
      <c r="S1574">
        <f>IMAGE("https://mitra.stanford.edu/kundaje/oak/projects/neuro-variants/variant_position/credible/roussos_2024/variant_figures/roussos_2024.infant.GLU/rs9891529_count_position.png",4,220,900)</f>
        <v/>
      </c>
      <c r="T1574">
        <f>IMAGE("https://mitra.stanford.edu/kundaje/oak/projects/neuro-variants/variant_position/credible/roussos_2024/variant_figures/roussos_2024.infant.GLU/rs9891529_profile_position.png",4,220,900)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-0.04013416082</v>
      </c>
      <c r="G1575" t="n">
        <v>0.2367223794171068</v>
      </c>
      <c r="H1575" t="n">
        <v>0.0087871205749333</v>
      </c>
      <c r="I1575" t="n">
        <v>0.8432253085325176</v>
      </c>
      <c r="J1575" t="n">
        <v>0.0383407923455102</v>
      </c>
      <c r="K1575" t="n">
        <v>0.3985011516341089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0.1638</v>
      </c>
      <c r="Q1575" t="n">
        <v>-35</v>
      </c>
      <c r="R1575" t="n">
        <v>0.042</v>
      </c>
      <c r="S1575">
        <f>IMAGE("https://mitra.stanford.edu/kundaje/oak/projects/neuro-variants/variant_position/credible/roussos_2024/variant_figures/roussos_2024.infant.GLU/rs16954519_count_position.png",4,220,900)</f>
        <v/>
      </c>
      <c r="T1575">
        <f>IMAGE("https://mitra.stanford.edu/kundaje/oak/projects/neuro-variants/variant_position/credible/roussos_2024/variant_figures/roussos_2024.infant.GLU/rs16954519_profile_position.png",4,220,900)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-0.0502721414</v>
      </c>
      <c r="G1576" t="n">
        <v>0.1688960794523932</v>
      </c>
      <c r="H1576" t="n">
        <v>0.009750666980143</v>
      </c>
      <c r="I1576" t="n">
        <v>0.7654969332544804</v>
      </c>
      <c r="J1576" t="n">
        <v>0.073838708966247</v>
      </c>
      <c r="K1576" t="n">
        <v>0.2697806073398788</v>
      </c>
      <c r="L1576" t="b">
        <v>0</v>
      </c>
      <c r="M1576" t="b">
        <v>0</v>
      </c>
      <c r="N1576" t="inlineStr">
        <is>
          <t>ref</t>
        </is>
      </c>
      <c r="O1576" t="n">
        <v>100</v>
      </c>
      <c r="P1576" t="n">
        <v>0.1964</v>
      </c>
      <c r="Q1576" t="n">
        <v>95</v>
      </c>
      <c r="R1576" t="n">
        <v>0.149</v>
      </c>
      <c r="S1576">
        <f>IMAGE("https://mitra.stanford.edu/kundaje/oak/projects/neuro-variants/variant_position/credible/roussos_2024/variant_figures/roussos_2024.infant.GLU/rs10445248_count_position.png",4,220,900)</f>
        <v/>
      </c>
      <c r="T1576">
        <f>IMAGE("https://mitra.stanford.edu/kundaje/oak/projects/neuro-variants/variant_position/credible/roussos_2024/variant_figures/roussos_2024.infant.GLU/rs10445248_profile_position.png",4,220,900)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-0.0071892254</v>
      </c>
      <c r="G1577" t="n">
        <v>0.2479637404146013</v>
      </c>
      <c r="H1577" t="n">
        <v>0.0266088719563089</v>
      </c>
      <c r="I1577" t="n">
        <v>0.0865770583767549</v>
      </c>
      <c r="J1577" t="n">
        <v>0.1020591282876605</v>
      </c>
      <c r="K1577" t="n">
        <v>0.2130939566379447</v>
      </c>
      <c r="L1577" t="b">
        <v>0</v>
      </c>
      <c r="M1577" t="b">
        <v>0</v>
      </c>
      <c r="N1577" t="inlineStr">
        <is>
          <t>ref</t>
        </is>
      </c>
      <c r="O1577" t="n">
        <v>70</v>
      </c>
      <c r="P1577" t="n">
        <v>0.08069999999999999</v>
      </c>
      <c r="Q1577" t="n">
        <v>-95</v>
      </c>
      <c r="R1577" t="n">
        <v>0.10376</v>
      </c>
      <c r="S1577">
        <f>IMAGE("https://mitra.stanford.edu/kundaje/oak/projects/neuro-variants/variant_position/credible/roussos_2024/variant_figures/roussos_2024.infant.GLU/rs9646399_count_position.png",4,220,900)</f>
        <v/>
      </c>
      <c r="T1577">
        <f>IMAGE("https://mitra.stanford.edu/kundaje/oak/projects/neuro-variants/variant_position/credible/roussos_2024/variant_figures/roussos_2024.infant.GLU/rs9646399_profile_position.png",4,220,900)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0.0591761708</v>
      </c>
      <c r="G1578" t="n">
        <v>0.1326657779821517</v>
      </c>
      <c r="H1578" t="n">
        <v>0.0129798103869479</v>
      </c>
      <c r="I1578" t="n">
        <v>0.4880950112478701</v>
      </c>
      <c r="J1578" t="n">
        <v>0.9866751912520118</v>
      </c>
      <c r="K1578" t="n">
        <v>6.895617980396231e-05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0.004272</v>
      </c>
      <c r="Q1578" t="n">
        <v>20</v>
      </c>
      <c r="R1578" t="n">
        <v>0.06934</v>
      </c>
      <c r="S1578">
        <f>IMAGE("https://mitra.stanford.edu/kundaje/oak/projects/neuro-variants/variant_position/credible/roussos_2024/variant_figures/roussos_2024.infant.GLU/rs2051975_count_position.png",4,220,900)</f>
        <v/>
      </c>
      <c r="T1578">
        <f>IMAGE("https://mitra.stanford.edu/kundaje/oak/projects/neuro-variants/variant_position/credible/roussos_2024/variant_figures/roussos_2024.infant.GLU/rs2051975_profile_position.png",4,220,900)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0.0696147084</v>
      </c>
      <c r="G1579" t="n">
        <v>0.0986710189710114</v>
      </c>
      <c r="H1579" t="n">
        <v>0.0209702019159951</v>
      </c>
      <c r="I1579" t="n">
        <v>0.1623774881587061</v>
      </c>
      <c r="J1579" t="n">
        <v>0.021548094093785</v>
      </c>
      <c r="K1579" t="n">
        <v>0.5238909510739755</v>
      </c>
      <c r="L1579" t="b">
        <v>0</v>
      </c>
      <c r="M1579" t="b">
        <v>0</v>
      </c>
      <c r="N1579" t="inlineStr">
        <is>
          <t>alt</t>
        </is>
      </c>
      <c r="O1579" t="n">
        <v>75</v>
      </c>
      <c r="P1579" t="n">
        <v>0.0266</v>
      </c>
      <c r="Q1579" t="n">
        <v>70</v>
      </c>
      <c r="R1579" t="n">
        <v>0.0553</v>
      </c>
      <c r="S1579">
        <f>IMAGE("https://mitra.stanford.edu/kundaje/oak/projects/neuro-variants/variant_position/credible/roussos_2024/variant_figures/roussos_2024.infant.GLU/rs1889018_count_position.png",4,220,900)</f>
        <v/>
      </c>
      <c r="T1579">
        <f>IMAGE("https://mitra.stanford.edu/kundaje/oak/projects/neuro-variants/variant_position/credible/roussos_2024/variant_figures/roussos_2024.infant.GLU/rs1889018_profile_position.png",4,220,900)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0.0455836372</v>
      </c>
      <c r="G1580" t="n">
        <v>0.1892130943961411</v>
      </c>
      <c r="H1580" t="n">
        <v>0.0660989515093702</v>
      </c>
      <c r="I1580" t="n">
        <v>0.0018457500781487</v>
      </c>
      <c r="J1580" t="n">
        <v>0.1796269759033488</v>
      </c>
      <c r="K1580" t="n">
        <v>0.1226908869451082</v>
      </c>
      <c r="L1580" t="b">
        <v>1</v>
      </c>
      <c r="M1580" t="b">
        <v>1</v>
      </c>
      <c r="N1580" t="inlineStr">
        <is>
          <t>alt</t>
        </is>
      </c>
      <c r="O1580" t="n">
        <v>-95</v>
      </c>
      <c r="P1580" t="n">
        <v>0.01965</v>
      </c>
      <c r="Q1580" t="n">
        <v>100</v>
      </c>
      <c r="R1580" t="n">
        <v>0.2095</v>
      </c>
      <c r="S1580">
        <f>IMAGE("https://mitra.stanford.edu/kundaje/oak/projects/neuro-variants/variant_position/credible/roussos_2024/variant_figures/roussos_2024.infant.GLU/rs56886154_count_position.png",4,220,900)</f>
        <v/>
      </c>
      <c r="T1580">
        <f>IMAGE("https://mitra.stanford.edu/kundaje/oak/projects/neuro-variants/variant_position/credible/roussos_2024/variant_figures/roussos_2024.infant.GLU/rs56886154_profile_position.png",4,220,900)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-0.0316414002</v>
      </c>
      <c r="G1581" t="n">
        <v>0.2990763774907753</v>
      </c>
      <c r="H1581" t="n">
        <v>0.06718386127510539</v>
      </c>
      <c r="I1581" t="n">
        <v>0.0017724871828667</v>
      </c>
      <c r="J1581" t="n">
        <v>0.1859829361317489</v>
      </c>
      <c r="K1581" t="n">
        <v>0.1221674237002069</v>
      </c>
      <c r="L1581" t="b">
        <v>1</v>
      </c>
      <c r="M1581" t="b">
        <v>1</v>
      </c>
      <c r="N1581" t="inlineStr">
        <is>
          <t>ref</t>
        </is>
      </c>
      <c r="O1581" t="n">
        <v>55</v>
      </c>
      <c r="P1581" t="n">
        <v>0.01428</v>
      </c>
      <c r="Q1581" t="n">
        <v>-50</v>
      </c>
      <c r="R1581" t="n">
        <v>0.105</v>
      </c>
      <c r="S1581">
        <f>IMAGE("https://mitra.stanford.edu/kundaje/oak/projects/neuro-variants/variant_position/credible/roussos_2024/variant_figures/roussos_2024.infant.GLU/rs4273100_count_position.png",4,220,900)</f>
        <v/>
      </c>
      <c r="T1581">
        <f>IMAGE("https://mitra.stanford.edu/kundaje/oak/projects/neuro-variants/variant_position/credible/roussos_2024/variant_figures/roussos_2024.infant.GLU/rs4273100_profile_position.png",4,220,900)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0.0456209416</v>
      </c>
      <c r="G1582" t="n">
        <v>0.1990272512280138</v>
      </c>
      <c r="H1582" t="n">
        <v>0.0177008976022002</v>
      </c>
      <c r="I1582" t="n">
        <v>0.2510789980426677</v>
      </c>
      <c r="J1582" t="n">
        <v>0.2484391190281972</v>
      </c>
      <c r="K1582" t="n">
        <v>0.0899840237565597</v>
      </c>
      <c r="L1582" t="b">
        <v>0</v>
      </c>
      <c r="M1582" t="b">
        <v>0</v>
      </c>
      <c r="N1582" t="inlineStr">
        <is>
          <t>alt</t>
        </is>
      </c>
      <c r="O1582" t="n">
        <v>70</v>
      </c>
      <c r="P1582" t="n">
        <v>0.02191</v>
      </c>
      <c r="Q1582" t="n">
        <v>20</v>
      </c>
      <c r="R1582" t="n">
        <v>0.1177</v>
      </c>
      <c r="S1582">
        <f>IMAGE("https://mitra.stanford.edu/kundaje/oak/projects/neuro-variants/variant_position/credible/roussos_2024/variant_figures/roussos_2024.infant.GLU/rs28760541_count_position.png",4,220,900)</f>
        <v/>
      </c>
      <c r="T1582">
        <f>IMAGE("https://mitra.stanford.edu/kundaje/oak/projects/neuro-variants/variant_position/credible/roussos_2024/variant_figures/roussos_2024.infant.GLU/rs28760541_profile_position.png",4,220,900)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0.0327661094</v>
      </c>
      <c r="G1583" t="n">
        <v>0.29918135347594</v>
      </c>
      <c r="H1583" t="n">
        <v>0.014715614332033</v>
      </c>
      <c r="I1583" t="n">
        <v>0.3780514499726644</v>
      </c>
      <c r="J1583" t="n">
        <v>0.1297779933420048</v>
      </c>
      <c r="K1583" t="n">
        <v>0.171260805456805</v>
      </c>
      <c r="L1583" t="b">
        <v>0</v>
      </c>
      <c r="M1583" t="b">
        <v>0</v>
      </c>
      <c r="N1583" t="inlineStr">
        <is>
          <t>alt</t>
        </is>
      </c>
      <c r="O1583" t="n">
        <v>90</v>
      </c>
      <c r="P1583" t="n">
        <v>0.011635</v>
      </c>
      <c r="Q1583" t="n">
        <v>-20</v>
      </c>
      <c r="R1583" t="n">
        <v>0.0636</v>
      </c>
      <c r="S1583">
        <f>IMAGE("https://mitra.stanford.edu/kundaje/oak/projects/neuro-variants/variant_position/credible/roussos_2024/variant_figures/roussos_2024.infant.GLU/rs16960499_count_position.png",4,220,900)</f>
        <v/>
      </c>
      <c r="T1583">
        <f>IMAGE("https://mitra.stanford.edu/kundaje/oak/projects/neuro-variants/variant_position/credible/roussos_2024/variant_figures/roussos_2024.infant.GLU/rs16960499_profile_position.png",4,220,900)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-0.0559152902</v>
      </c>
      <c r="G1584" t="n">
        <v>0.1438667999542394</v>
      </c>
      <c r="H1584" t="n">
        <v>0.0106394110653226</v>
      </c>
      <c r="I1584" t="n">
        <v>0.6764114337058278</v>
      </c>
      <c r="J1584" t="n">
        <v>0.1727110386031438</v>
      </c>
      <c r="K1584" t="n">
        <v>0.1352721879991968</v>
      </c>
      <c r="L1584" t="b">
        <v>0</v>
      </c>
      <c r="M1584" t="b">
        <v>0</v>
      </c>
      <c r="N1584" t="inlineStr">
        <is>
          <t>ref</t>
        </is>
      </c>
      <c r="O1584" t="n">
        <v>100</v>
      </c>
      <c r="P1584" t="n">
        <v>0.0173</v>
      </c>
      <c r="Q1584" t="n">
        <v>100</v>
      </c>
      <c r="R1584" t="n">
        <v>0.2344</v>
      </c>
      <c r="S1584">
        <f>IMAGE("https://mitra.stanford.edu/kundaje/oak/projects/neuro-variants/variant_position/credible/roussos_2024/variant_figures/roussos_2024.infant.GLU/rs2048230_count_position.png",4,220,900)</f>
        <v/>
      </c>
      <c r="T1584">
        <f>IMAGE("https://mitra.stanford.edu/kundaje/oak/projects/neuro-variants/variant_position/credible/roussos_2024/variant_figures/roussos_2024.infant.GLU/rs2048230_profile_position.png",4,220,900)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0.0239075013879999</v>
      </c>
      <c r="G1585" t="n">
        <v>0.3978825671480973</v>
      </c>
      <c r="H1585" t="n">
        <v>0.0135687393823816</v>
      </c>
      <c r="I1585" t="n">
        <v>0.4529502113729992</v>
      </c>
      <c r="J1585" t="n">
        <v>0.1291044776119402</v>
      </c>
      <c r="K1585" t="n">
        <v>0.1702716736204123</v>
      </c>
      <c r="L1585" t="b">
        <v>0</v>
      </c>
      <c r="M1585" t="b">
        <v>0</v>
      </c>
      <c r="N1585" t="inlineStr">
        <is>
          <t>alt</t>
        </is>
      </c>
      <c r="O1585" t="n">
        <v>-100</v>
      </c>
      <c r="P1585" t="n">
        <v>0.011246</v>
      </c>
      <c r="Q1585" t="n">
        <v>100</v>
      </c>
      <c r="R1585" t="n">
        <v>0.08356</v>
      </c>
      <c r="S1585">
        <f>IMAGE("https://mitra.stanford.edu/kundaje/oak/projects/neuro-variants/variant_position/credible/roussos_2024/variant_figures/roussos_2024.infant.GLU/rs2428582_count_position.png",4,220,900)</f>
        <v/>
      </c>
      <c r="T1585">
        <f>IMAGE("https://mitra.stanford.edu/kundaje/oak/projects/neuro-variants/variant_position/credible/roussos_2024/variant_figures/roussos_2024.infant.GLU/rs2428582_profile_position.png",4,220,900)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0.213474142</v>
      </c>
      <c r="G1586" t="n">
        <v>0.008666381238701599</v>
      </c>
      <c r="H1586" t="n">
        <v>0.053464784324949</v>
      </c>
      <c r="I1586" t="n">
        <v>0.0055309860751075</v>
      </c>
      <c r="J1586" t="n">
        <v>0.0940199298926342</v>
      </c>
      <c r="K1586" t="n">
        <v>0.2155980501312873</v>
      </c>
      <c r="L1586" t="b">
        <v>1</v>
      </c>
      <c r="M1586" t="b">
        <v>1</v>
      </c>
      <c r="N1586" t="inlineStr">
        <is>
          <t>alt</t>
        </is>
      </c>
      <c r="O1586" t="n">
        <v>100</v>
      </c>
      <c r="P1586" t="n">
        <v>0.0639</v>
      </c>
      <c r="Q1586" t="n">
        <v>-90</v>
      </c>
      <c r="R1586" t="n">
        <v>0.01807</v>
      </c>
      <c r="S1586">
        <f>IMAGE("https://mitra.stanford.edu/kundaje/oak/projects/neuro-variants/variant_position/credible/roussos_2024/variant_figures/roussos_2024.infant.GLU/rs9915039_count_position.png",4,220,900)</f>
        <v/>
      </c>
      <c r="T1586">
        <f>IMAGE("https://mitra.stanford.edu/kundaje/oak/projects/neuro-variants/variant_position/credible/roussos_2024/variant_figures/roussos_2024.infant.GLU/rs9915039_profile_position.png",4,220,900)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0.1056319499999999</v>
      </c>
      <c r="G1587" t="n">
        <v>0.0437748881425648</v>
      </c>
      <c r="H1587" t="n">
        <v>0.0289749203644304</v>
      </c>
      <c r="I1587" t="n">
        <v>0.0643489564004717</v>
      </c>
      <c r="J1587" t="n">
        <v>0.5920126105072864</v>
      </c>
      <c r="K1587" t="n">
        <v>0.0210347011446985</v>
      </c>
      <c r="L1587" t="b">
        <v>0</v>
      </c>
      <c r="M1587" t="b">
        <v>0</v>
      </c>
      <c r="N1587" t="inlineStr">
        <is>
          <t>alt</t>
        </is>
      </c>
      <c r="O1587" t="n">
        <v>75</v>
      </c>
      <c r="P1587" t="n">
        <v>0.025</v>
      </c>
      <c r="Q1587" t="n">
        <v>-85</v>
      </c>
      <c r="R1587" t="n">
        <v>0.1298</v>
      </c>
      <c r="S1587">
        <f>IMAGE("https://mitra.stanford.edu/kundaje/oak/projects/neuro-variants/variant_position/credible/roussos_2024/variant_figures/roussos_2024.infant.GLU/rs28767032_count_position.png",4,220,900)</f>
        <v/>
      </c>
      <c r="T1587">
        <f>IMAGE("https://mitra.stanford.edu/kundaje/oak/projects/neuro-variants/variant_position/credible/roussos_2024/variant_figures/roussos_2024.infant.GLU/rs28767032_profile_position.png",4,220,900)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-0.1720563552</v>
      </c>
      <c r="G1588" t="n">
        <v>0.0151744223144697</v>
      </c>
      <c r="H1588" t="n">
        <v>0.0207417139259585</v>
      </c>
      <c r="I1588" t="n">
        <v>0.1693608339092324</v>
      </c>
      <c r="J1588" t="n">
        <v>0.3765967062765934</v>
      </c>
      <c r="K1588" t="n">
        <v>0.049357451490734</v>
      </c>
      <c r="L1588" t="b">
        <v>1</v>
      </c>
      <c r="M1588" t="b">
        <v>0</v>
      </c>
      <c r="N1588" t="inlineStr">
        <is>
          <t>ref</t>
        </is>
      </c>
      <c r="O1588" t="n">
        <v>100</v>
      </c>
      <c r="P1588" t="n">
        <v>0.01056</v>
      </c>
      <c r="Q1588" t="n">
        <v>-75</v>
      </c>
      <c r="R1588" t="n">
        <v>0.04102</v>
      </c>
      <c r="S1588">
        <f>IMAGE("https://mitra.stanford.edu/kundaje/oak/projects/neuro-variants/variant_position/credible/roussos_2024/variant_figures/roussos_2024.infant.GLU/rs8082671_count_position.png",4,220,900)</f>
        <v/>
      </c>
      <c r="T1588">
        <f>IMAGE("https://mitra.stanford.edu/kundaje/oak/projects/neuro-variants/variant_position/credible/roussos_2024/variant_figures/roussos_2024.infant.GLU/rs8082671_profile_position.png",4,220,900)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0.01023001782</v>
      </c>
      <c r="G1589" t="n">
        <v>0.6167384056009249</v>
      </c>
      <c r="H1589" t="n">
        <v>0.0177544667176774</v>
      </c>
      <c r="I1589" t="n">
        <v>0.2457653304308183</v>
      </c>
      <c r="J1589" t="n">
        <v>0.286314733569964</v>
      </c>
      <c r="K1589" t="n">
        <v>0.0725685952152051</v>
      </c>
      <c r="L1589" t="b">
        <v>0</v>
      </c>
      <c r="M1589" t="b">
        <v>0</v>
      </c>
      <c r="N1589" t="inlineStr">
        <is>
          <t>alt</t>
        </is>
      </c>
      <c r="O1589" t="n">
        <v>80</v>
      </c>
      <c r="P1589" t="n">
        <v>0.07149999999999999</v>
      </c>
      <c r="Q1589" t="n">
        <v>-95</v>
      </c>
      <c r="R1589" t="n">
        <v>0.1265</v>
      </c>
      <c r="S1589">
        <f>IMAGE("https://mitra.stanford.edu/kundaje/oak/projects/neuro-variants/variant_position/credible/roussos_2024/variant_figures/roussos_2024.infant.GLU/rs8065337_count_position.png",4,220,900)</f>
        <v/>
      </c>
      <c r="T1589">
        <f>IMAGE("https://mitra.stanford.edu/kundaje/oak/projects/neuro-variants/variant_position/credible/roussos_2024/variant_figures/roussos_2024.infant.GLU/rs8065337_profile_position.png",4,220,900)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-0.301928972</v>
      </c>
      <c r="G1590" t="n">
        <v>0.0031691239335333</v>
      </c>
      <c r="H1590" t="n">
        <v>0.0399099484852207</v>
      </c>
      <c r="I1590" t="n">
        <v>0.0206904178955568</v>
      </c>
      <c r="J1590" t="n">
        <v>0.1970050045194999</v>
      </c>
      <c r="K1590" t="n">
        <v>0.1107236566590146</v>
      </c>
      <c r="L1590" t="b">
        <v>1</v>
      </c>
      <c r="M1590" t="b">
        <v>1</v>
      </c>
      <c r="N1590" t="inlineStr">
        <is>
          <t>ref</t>
        </is>
      </c>
      <c r="O1590" t="n">
        <v>25</v>
      </c>
      <c r="P1590" t="n">
        <v>0.002625</v>
      </c>
      <c r="Q1590" t="n">
        <v>-50</v>
      </c>
      <c r="R1590" t="n">
        <v>0.03174</v>
      </c>
      <c r="S1590">
        <f>IMAGE("https://mitra.stanford.edu/kundaje/oak/projects/neuro-variants/variant_position/credible/roussos_2024/variant_figures/roussos_2024.infant.GLU/rs28807825_count_position.png",4,220,900)</f>
        <v/>
      </c>
      <c r="T1590">
        <f>IMAGE("https://mitra.stanford.edu/kundaje/oak/projects/neuro-variants/variant_position/credible/roussos_2024/variant_figures/roussos_2024.infant.GLU/rs28807825_profile_position.png",4,220,900)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0.193465566</v>
      </c>
      <c r="G1591" t="n">
        <v>0.0128379637869453</v>
      </c>
      <c r="H1591" t="n">
        <v>0.0265793478058804</v>
      </c>
      <c r="I1591" t="n">
        <v>0.0867661271498588</v>
      </c>
      <c r="J1591" t="n">
        <v>0.1352091095482704</v>
      </c>
      <c r="K1591" t="n">
        <v>0.1600665222061624</v>
      </c>
      <c r="L1591" t="b">
        <v>1</v>
      </c>
      <c r="M1591" t="b">
        <v>0</v>
      </c>
      <c r="N1591" t="inlineStr">
        <is>
          <t>alt</t>
        </is>
      </c>
      <c r="O1591" t="n">
        <v>60</v>
      </c>
      <c r="P1591" t="n">
        <v>0.002735</v>
      </c>
      <c r="Q1591" t="n">
        <v>95</v>
      </c>
      <c r="R1591" t="n">
        <v>0.0569</v>
      </c>
      <c r="S1591">
        <f>IMAGE("https://mitra.stanford.edu/kundaje/oak/projects/neuro-variants/variant_position/credible/roussos_2024/variant_figures/roussos_2024.infant.GLU/rs9914328_count_position.png",4,220,900)</f>
        <v/>
      </c>
      <c r="T1591">
        <f>IMAGE("https://mitra.stanford.edu/kundaje/oak/projects/neuro-variants/variant_position/credible/roussos_2024/variant_figures/roussos_2024.infant.GLU/rs9914328_profile_position.png",4,220,900)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0.0339197874</v>
      </c>
      <c r="G1592" t="n">
        <v>0.2769684954520447</v>
      </c>
      <c r="H1592" t="n">
        <v>0.0152452191691476</v>
      </c>
      <c r="I1592" t="n">
        <v>0.3673092875795933</v>
      </c>
      <c r="J1592" t="n">
        <v>0.1539451927952556</v>
      </c>
      <c r="K1592" t="n">
        <v>0.1425651885551882</v>
      </c>
      <c r="L1592" t="b">
        <v>0</v>
      </c>
      <c r="M1592" t="b">
        <v>0</v>
      </c>
      <c r="N1592" t="inlineStr">
        <is>
          <t>alt</t>
        </is>
      </c>
      <c r="O1592" t="n">
        <v>100</v>
      </c>
      <c r="P1592" t="n">
        <v>0.018</v>
      </c>
      <c r="Q1592" t="n">
        <v>-100</v>
      </c>
      <c r="R1592" t="n">
        <v>0.1206</v>
      </c>
      <c r="S1592">
        <f>IMAGE("https://mitra.stanford.edu/kundaje/oak/projects/neuro-variants/variant_position/credible/roussos_2024/variant_figures/roussos_2024.infant.GLU/rs7221669_count_position.png",4,220,900)</f>
        <v/>
      </c>
      <c r="T1592">
        <f>IMAGE("https://mitra.stanford.edu/kundaje/oak/projects/neuro-variants/variant_position/credible/roussos_2024/variant_figures/roussos_2024.infant.GLU/rs7221669_profile_position.png",4,220,900)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0.0384171623999999</v>
      </c>
      <c r="G1593" t="n">
        <v>0.2360554397839579</v>
      </c>
      <c r="H1593" t="n">
        <v>0.009406100197002</v>
      </c>
      <c r="I1593" t="n">
        <v>0.775629801767439</v>
      </c>
      <c r="J1593" t="n">
        <v>0.1785952071253775</v>
      </c>
      <c r="K1593" t="n">
        <v>0.1237418155150266</v>
      </c>
      <c r="L1593" t="b">
        <v>0</v>
      </c>
      <c r="M1593" t="b">
        <v>0</v>
      </c>
      <c r="N1593" t="inlineStr">
        <is>
          <t>alt</t>
        </is>
      </c>
      <c r="O1593" t="n">
        <v>-75</v>
      </c>
      <c r="P1593" t="n">
        <v>0.011856</v>
      </c>
      <c r="Q1593" t="n">
        <v>95</v>
      </c>
      <c r="R1593" t="n">
        <v>0.2322</v>
      </c>
      <c r="S1593">
        <f>IMAGE("https://mitra.stanford.edu/kundaje/oak/projects/neuro-variants/variant_position/credible/roussos_2024/variant_figures/roussos_2024.infant.GLU/rs3909257_count_position.png",4,220,900)</f>
        <v/>
      </c>
      <c r="T1593">
        <f>IMAGE("https://mitra.stanford.edu/kundaje/oak/projects/neuro-variants/variant_position/credible/roussos_2024/variant_figures/roussos_2024.infant.GLU/rs3909257_profile_position.png",4,220,900)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0.08582359031999991</v>
      </c>
      <c r="G1594" t="n">
        <v>0.0848185017927281</v>
      </c>
      <c r="H1594" t="n">
        <v>0.0232741440630769</v>
      </c>
      <c r="I1594" t="n">
        <v>0.1265199212546983</v>
      </c>
      <c r="J1594" t="n">
        <v>0.0423554311162062</v>
      </c>
      <c r="K1594" t="n">
        <v>0.3791524230651477</v>
      </c>
      <c r="L1594" t="b">
        <v>0</v>
      </c>
      <c r="M1594" t="b">
        <v>0</v>
      </c>
      <c r="N1594" t="inlineStr">
        <is>
          <t>alt</t>
        </is>
      </c>
      <c r="O1594" t="n">
        <v>-100</v>
      </c>
      <c r="P1594" t="n">
        <v>0.08386</v>
      </c>
      <c r="Q1594" t="n">
        <v>40</v>
      </c>
      <c r="R1594" t="n">
        <v>0.04272</v>
      </c>
      <c r="S1594">
        <f>IMAGE("https://mitra.stanford.edu/kundaje/oak/projects/neuro-variants/variant_position/credible/roussos_2024/variant_figures/roussos_2024.infant.GLU/rs4925077_count_position.png",4,220,900)</f>
        <v/>
      </c>
      <c r="T1594">
        <f>IMAGE("https://mitra.stanford.edu/kundaje/oak/projects/neuro-variants/variant_position/credible/roussos_2024/variant_figures/roussos_2024.infant.GLU/rs4925077_profile_position.png",4,220,900)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-0.203616712</v>
      </c>
      <c r="G1595" t="n">
        <v>0.0095726337738496</v>
      </c>
      <c r="H1595" t="n">
        <v>0.031717006985859</v>
      </c>
      <c r="I1595" t="n">
        <v>0.0490808369742774</v>
      </c>
      <c r="J1595" t="n">
        <v>0.107313873762649</v>
      </c>
      <c r="K1595" t="n">
        <v>0.1996602149461723</v>
      </c>
      <c r="L1595" t="b">
        <v>1</v>
      </c>
      <c r="M1595" t="b">
        <v>1</v>
      </c>
      <c r="N1595" t="inlineStr">
        <is>
          <t>ref</t>
        </is>
      </c>
      <c r="O1595" t="n">
        <v>-85</v>
      </c>
      <c r="P1595" t="n">
        <v>0.00976</v>
      </c>
      <c r="Q1595" t="n">
        <v>-85</v>
      </c>
      <c r="R1595" t="n">
        <v>0.158</v>
      </c>
      <c r="S1595">
        <f>IMAGE("https://mitra.stanford.edu/kundaje/oak/projects/neuro-variants/variant_position/credible/roussos_2024/variant_figures/roussos_2024.infant.GLU/rs35602968_count_position.png",4,220,900)</f>
        <v/>
      </c>
      <c r="T1595">
        <f>IMAGE("https://mitra.stanford.edu/kundaje/oak/projects/neuro-variants/variant_position/credible/roussos_2024/variant_figures/roussos_2024.infant.GLU/rs35602968_profile_position.png",4,220,900)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0.016292916</v>
      </c>
      <c r="G1596" t="n">
        <v>0.4935885553786827</v>
      </c>
      <c r="H1596" t="n">
        <v>0.0139393806161764</v>
      </c>
      <c r="I1596" t="n">
        <v>0.4184291421798546</v>
      </c>
      <c r="J1596" t="n">
        <v>0.1652296126457814</v>
      </c>
      <c r="K1596" t="n">
        <v>0.1410808920322129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0.0847</v>
      </c>
      <c r="Q1596" t="n">
        <v>85</v>
      </c>
      <c r="R1596" t="n">
        <v>0.113</v>
      </c>
      <c r="S1596">
        <f>IMAGE("https://mitra.stanford.edu/kundaje/oak/projects/neuro-variants/variant_position/credible/roussos_2024/variant_figures/roussos_2024.infant.GLU/rs7212500_count_position.png",4,220,900)</f>
        <v/>
      </c>
      <c r="T1596">
        <f>IMAGE("https://mitra.stanford.edu/kundaje/oak/projects/neuro-variants/variant_position/credible/roussos_2024/variant_figures/roussos_2024.infant.GLU/rs7212500_profile_position.png",4,220,900)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-0.01074635058</v>
      </c>
      <c r="G1597" t="n">
        <v>0.6341063007868446</v>
      </c>
      <c r="H1597" t="n">
        <v>0.0086477191496219</v>
      </c>
      <c r="I1597" t="n">
        <v>0.8241091190425869</v>
      </c>
      <c r="J1597" t="n">
        <v>0.0173659031283758</v>
      </c>
      <c r="K1597" t="n">
        <v>0.5821034263049946</v>
      </c>
      <c r="L1597" t="b">
        <v>0</v>
      </c>
      <c r="M1597" t="b">
        <v>0</v>
      </c>
      <c r="N1597" t="inlineStr">
        <is>
          <t>ref</t>
        </is>
      </c>
      <c r="O1597" t="n">
        <v>-85</v>
      </c>
      <c r="P1597" t="n">
        <v>0.1321</v>
      </c>
      <c r="Q1597" t="n">
        <v>-90</v>
      </c>
      <c r="R1597" t="n">
        <v>0.161</v>
      </c>
      <c r="S1597">
        <f>IMAGE("https://mitra.stanford.edu/kundaje/oak/projects/neuro-variants/variant_position/credible/roussos_2024/variant_figures/roussos_2024.infant.GLU/rs2703777_count_position.png",4,220,900)</f>
        <v/>
      </c>
      <c r="T1597">
        <f>IMAGE("https://mitra.stanford.edu/kundaje/oak/projects/neuro-variants/variant_position/credible/roussos_2024/variant_figures/roussos_2024.infant.GLU/rs2703777_profile_position.png",4,220,900)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-0.07088825260000001</v>
      </c>
      <c r="G1598" t="n">
        <v>0.1041039633047403</v>
      </c>
      <c r="H1598" t="n">
        <v>0.0158545399081185</v>
      </c>
      <c r="I1598" t="n">
        <v>0.3309515326235538</v>
      </c>
      <c r="J1598" t="n">
        <v>0.1971273617143234</v>
      </c>
      <c r="K1598" t="n">
        <v>0.1116035095872023</v>
      </c>
      <c r="L1598" t="b">
        <v>0</v>
      </c>
      <c r="M1598" t="b">
        <v>0</v>
      </c>
      <c r="N1598" t="inlineStr">
        <is>
          <t>ref</t>
        </is>
      </c>
      <c r="O1598" t="n">
        <v>95</v>
      </c>
      <c r="P1598" t="n">
        <v>0.01807</v>
      </c>
      <c r="Q1598" t="n">
        <v>100</v>
      </c>
      <c r="R1598" t="n">
        <v>0.315</v>
      </c>
      <c r="S1598">
        <f>IMAGE("https://mitra.stanford.edu/kundaje/oak/projects/neuro-variants/variant_position/credible/roussos_2024/variant_figures/roussos_2024.infant.GLU/rs2158472_count_position.png",4,220,900)</f>
        <v/>
      </c>
      <c r="T1598">
        <f>IMAGE("https://mitra.stanford.edu/kundaje/oak/projects/neuro-variants/variant_position/credible/roussos_2024/variant_figures/roussos_2024.infant.GLU/rs2158472_profile_position.png",4,220,900)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0.0250946146</v>
      </c>
      <c r="G1599" t="n">
        <v>0.3658081513053642</v>
      </c>
      <c r="H1599" t="n">
        <v>0.052530107252872</v>
      </c>
      <c r="I1599" t="n">
        <v>0.0059604960769503</v>
      </c>
      <c r="J1599" t="n">
        <v>0.2670815053241914</v>
      </c>
      <c r="K1599" t="n">
        <v>0.0804130801713186</v>
      </c>
      <c r="L1599" t="b">
        <v>1</v>
      </c>
      <c r="M1599" t="b">
        <v>1</v>
      </c>
      <c r="N1599" t="inlineStr">
        <is>
          <t>alt</t>
        </is>
      </c>
      <c r="O1599" t="n">
        <v>25</v>
      </c>
      <c r="P1599" t="n">
        <v>0.006104</v>
      </c>
      <c r="Q1599" t="n">
        <v>100</v>
      </c>
      <c r="R1599" t="n">
        <v>0.0564</v>
      </c>
      <c r="S1599">
        <f>IMAGE("https://mitra.stanford.edu/kundaje/oak/projects/neuro-variants/variant_position/credible/roussos_2024/variant_figures/roussos_2024.infant.GLU/rs72625942_count_position.png",4,220,900)</f>
        <v/>
      </c>
      <c r="T1599">
        <f>IMAGE("https://mitra.stanford.edu/kundaje/oak/projects/neuro-variants/variant_position/credible/roussos_2024/variant_figures/roussos_2024.infant.GLU/rs72625942_profile_position.png",4,220,900)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0.0919784669999999</v>
      </c>
      <c r="G1600" t="n">
        <v>0.0621930292270583</v>
      </c>
      <c r="H1600" t="n">
        <v>0.0311807222669994</v>
      </c>
      <c r="I1600" t="n">
        <v>0.0512040321759048</v>
      </c>
      <c r="J1600" t="n">
        <v>0.0075200070548292</v>
      </c>
      <c r="K1600" t="n">
        <v>0.6986650686826738</v>
      </c>
      <c r="L1600" t="b">
        <v>0</v>
      </c>
      <c r="M1600" t="b">
        <v>0</v>
      </c>
      <c r="N1600" t="inlineStr">
        <is>
          <t>alt</t>
        </is>
      </c>
      <c r="O1600" t="n">
        <v>-90</v>
      </c>
      <c r="P1600" t="n">
        <v>0.00891</v>
      </c>
      <c r="Q1600" t="n">
        <v>55</v>
      </c>
      <c r="R1600" t="n">
        <v>0.0468</v>
      </c>
      <c r="S1600">
        <f>IMAGE("https://mitra.stanford.edu/kundaje/oak/projects/neuro-variants/variant_position/credible/roussos_2024/variant_figures/roussos_2024.infant.GLU/rs117001874_count_position.png",4,220,900)</f>
        <v/>
      </c>
      <c r="T1600">
        <f>IMAGE("https://mitra.stanford.edu/kundaje/oak/projects/neuro-variants/variant_position/credible/roussos_2024/variant_figures/roussos_2024.infant.GLU/rs117001874_profile_position.png",4,220,900)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0.0331504204</v>
      </c>
      <c r="G1601" t="n">
        <v>0.2767546488864887</v>
      </c>
      <c r="H1601" t="n">
        <v>0.0161343064821258</v>
      </c>
      <c r="I1601" t="n">
        <v>0.308618304847824</v>
      </c>
      <c r="J1601" t="n">
        <v>0.3438115919663131</v>
      </c>
      <c r="K1601" t="n">
        <v>0.0635780847104173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0.011406</v>
      </c>
      <c r="Q1601" t="n">
        <v>-45</v>
      </c>
      <c r="R1601" t="n">
        <v>0.03296</v>
      </c>
      <c r="S1601">
        <f>IMAGE("https://mitra.stanford.edu/kundaje/oak/projects/neuro-variants/variant_position/credible/roussos_2024/variant_figures/roussos_2024.infant.GLU/rs72625945_count_position.png",4,220,900)</f>
        <v/>
      </c>
      <c r="T1601">
        <f>IMAGE("https://mitra.stanford.edu/kundaje/oak/projects/neuro-variants/variant_position/credible/roussos_2024/variant_figures/roussos_2024.infant.GLU/rs72625945_profile_position.png",4,220,900)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-0.0189260612</v>
      </c>
      <c r="G1602" t="n">
        <v>0.4134861979077874</v>
      </c>
      <c r="H1602" t="n">
        <v>0.0129988459271532</v>
      </c>
      <c r="I1602" t="n">
        <v>0.4858115119246461</v>
      </c>
      <c r="J1602" t="n">
        <v>0.6003505368284132</v>
      </c>
      <c r="K1602" t="n">
        <v>0.021077958290645</v>
      </c>
      <c r="L1602" t="b">
        <v>0</v>
      </c>
      <c r="M1602" t="b">
        <v>0</v>
      </c>
      <c r="N1602" t="inlineStr">
        <is>
          <t>ref</t>
        </is>
      </c>
      <c r="O1602" t="n">
        <v>-95</v>
      </c>
      <c r="P1602" t="n">
        <v>0.007614</v>
      </c>
      <c r="Q1602" t="n">
        <v>-100</v>
      </c>
      <c r="R1602" t="n">
        <v>0.1827</v>
      </c>
      <c r="S1602">
        <f>IMAGE("https://mitra.stanford.edu/kundaje/oak/projects/neuro-variants/variant_position/credible/roussos_2024/variant_figures/roussos_2024.infant.GLU/rs76297940_count_position.png",4,220,900)</f>
        <v/>
      </c>
      <c r="T1602">
        <f>IMAGE("https://mitra.stanford.edu/kundaje/oak/projects/neuro-variants/variant_position/credible/roussos_2024/variant_figures/roussos_2024.infant.GLU/rs76297940_profile_position.png",4,220,900)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-0.00041575104</v>
      </c>
      <c r="G1603" t="n">
        <v>0.6439209668573095</v>
      </c>
      <c r="H1603" t="n">
        <v>0.0342338338039027</v>
      </c>
      <c r="I1603" t="n">
        <v>0.0366809077207389</v>
      </c>
      <c r="J1603" t="n">
        <v>0.0454132586697237</v>
      </c>
      <c r="K1603" t="n">
        <v>0.3668971782387987</v>
      </c>
      <c r="L1603" t="b">
        <v>0</v>
      </c>
      <c r="M1603" t="b">
        <v>0</v>
      </c>
      <c r="N1603" t="inlineStr">
        <is>
          <t>ref</t>
        </is>
      </c>
      <c r="O1603" t="n">
        <v>-35</v>
      </c>
      <c r="P1603" t="n">
        <v>0.001377</v>
      </c>
      <c r="Q1603" t="n">
        <v>-55</v>
      </c>
      <c r="R1603" t="n">
        <v>0.01306</v>
      </c>
      <c r="S1603">
        <f>IMAGE("https://mitra.stanford.edu/kundaje/oak/projects/neuro-variants/variant_position/credible/roussos_2024/variant_figures/roussos_2024.infant.GLU/rs383241_count_position.png",4,220,900)</f>
        <v/>
      </c>
      <c r="T1603">
        <f>IMAGE("https://mitra.stanford.edu/kundaje/oak/projects/neuro-variants/variant_position/credible/roussos_2024/variant_figures/roussos_2024.infant.GLU/rs383241_profile_position.png",4,220,900)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0.00156135922</v>
      </c>
      <c r="G1604" t="n">
        <v>0.7988495087133645</v>
      </c>
      <c r="H1604" t="n">
        <v>0.033798482938735</v>
      </c>
      <c r="I1604" t="n">
        <v>0.038585644327493</v>
      </c>
      <c r="J1604" t="n">
        <v>0.0346259838179853</v>
      </c>
      <c r="K1604" t="n">
        <v>0.4204392257427686</v>
      </c>
      <c r="L1604" t="b">
        <v>0</v>
      </c>
      <c r="M1604" t="b">
        <v>0</v>
      </c>
      <c r="N1604" t="inlineStr">
        <is>
          <t>alt</t>
        </is>
      </c>
      <c r="O1604" t="n">
        <v>100</v>
      </c>
      <c r="P1604" t="n">
        <v>0.009520000000000001</v>
      </c>
      <c r="Q1604" t="n">
        <v>100</v>
      </c>
      <c r="R1604" t="n">
        <v>0.10913</v>
      </c>
      <c r="S1604">
        <f>IMAGE("https://mitra.stanford.edu/kundaje/oak/projects/neuro-variants/variant_position/credible/roussos_2024/variant_figures/roussos_2024.infant.GLU/rs81632_count_position.png",4,220,900)</f>
        <v/>
      </c>
      <c r="T1604">
        <f>IMAGE("https://mitra.stanford.edu/kundaje/oak/projects/neuro-variants/variant_position/credible/roussos_2024/variant_figures/roussos_2024.infant.GLU/rs81632_profile_position.png",4,220,900)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0.0210680833</v>
      </c>
      <c r="G1605" t="n">
        <v>0.2670344729577291</v>
      </c>
      <c r="H1605" t="n">
        <v>0.0150537965984149</v>
      </c>
      <c r="I1605" t="n">
        <v>0.3570167160902151</v>
      </c>
      <c r="J1605" t="n">
        <v>0.3013205758504376</v>
      </c>
      <c r="K1605" t="n">
        <v>0.0686083214662051</v>
      </c>
      <c r="L1605" t="b">
        <v>0</v>
      </c>
      <c r="M1605" t="b">
        <v>0</v>
      </c>
      <c r="N1605" t="inlineStr">
        <is>
          <t>alt</t>
        </is>
      </c>
      <c r="O1605" t="n">
        <v>90</v>
      </c>
      <c r="P1605" t="n">
        <v>0.0109</v>
      </c>
      <c r="Q1605" t="n">
        <v>75</v>
      </c>
      <c r="R1605" t="n">
        <v>0.11084</v>
      </c>
      <c r="S1605">
        <f>IMAGE("https://mitra.stanford.edu/kundaje/oak/projects/neuro-variants/variant_position/credible/roussos_2024/variant_figures/roussos_2024.infant.GLU/rs2942169_count_position.png",4,220,900)</f>
        <v/>
      </c>
      <c r="T1605">
        <f>IMAGE("https://mitra.stanford.edu/kundaje/oak/projects/neuro-variants/variant_position/credible/roussos_2024/variant_figures/roussos_2024.infant.GLU/rs2942169_profile_position.png",4,220,900)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0.0688981736</v>
      </c>
      <c r="G1606" t="n">
        <v>0.09824640860584551</v>
      </c>
      <c r="H1606" t="n">
        <v>0.0135681709737645</v>
      </c>
      <c r="I1606" t="n">
        <v>0.4456902995160107</v>
      </c>
      <c r="J1606" t="n">
        <v>0.2915496373376838</v>
      </c>
      <c r="K1606" t="n">
        <v>0.07128706773151899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0.02267</v>
      </c>
      <c r="Q1606" t="n">
        <v>-100</v>
      </c>
      <c r="R1606" t="n">
        <v>0.10205</v>
      </c>
      <c r="S1606">
        <f>IMAGE("https://mitra.stanford.edu/kundaje/oak/projects/neuro-variants/variant_position/credible/roussos_2024/variant_figures/roussos_2024.infant.GLU/rs241041_count_position.png",4,220,900)</f>
        <v/>
      </c>
      <c r="T1606">
        <f>IMAGE("https://mitra.stanford.edu/kundaje/oak/projects/neuro-variants/variant_position/credible/roussos_2024/variant_figures/roussos_2024.infant.GLU/rs241041_profile_position.png",4,220,900)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-0.006184423</v>
      </c>
      <c r="G1607" t="n">
        <v>0.7515676929332469</v>
      </c>
      <c r="H1607" t="n">
        <v>0.0534639617114141</v>
      </c>
      <c r="I1607" t="n">
        <v>0.0055346966031044</v>
      </c>
      <c r="J1607" t="n">
        <v>0.0103915430234352</v>
      </c>
      <c r="K1607" t="n">
        <v>0.6519923130087225</v>
      </c>
      <c r="L1607" t="b">
        <v>1</v>
      </c>
      <c r="M1607" t="b">
        <v>0</v>
      </c>
      <c r="N1607" t="inlineStr">
        <is>
          <t>ref</t>
        </is>
      </c>
      <c r="O1607" t="n">
        <v>85</v>
      </c>
      <c r="P1607" t="n">
        <v>0.0359</v>
      </c>
      <c r="Q1607" t="n">
        <v>85</v>
      </c>
      <c r="R1607" t="n">
        <v>0.08953999999999999</v>
      </c>
      <c r="S1607">
        <f>IMAGE("https://mitra.stanford.edu/kundaje/oak/projects/neuro-variants/variant_position/credible/roussos_2024/variant_figures/roussos_2024.infant.GLU/rs117368197_count_position.png",4,220,900)</f>
        <v/>
      </c>
      <c r="T1607">
        <f>IMAGE("https://mitra.stanford.edu/kundaje/oak/projects/neuro-variants/variant_position/credible/roussos_2024/variant_figures/roussos_2024.infant.GLU/rs117368197_profile_position.png",4,220,900)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0.1720185759999999</v>
      </c>
      <c r="G1608" t="n">
        <v>0.0170807197243892</v>
      </c>
      <c r="H1608" t="n">
        <v>0.022150547568466</v>
      </c>
      <c r="I1608" t="n">
        <v>0.144602509829389</v>
      </c>
      <c r="J1608" t="n">
        <v>0.0328137745541127</v>
      </c>
      <c r="K1608" t="n">
        <v>0.4412122797407594</v>
      </c>
      <c r="L1608" t="b">
        <v>1</v>
      </c>
      <c r="M1608" t="b">
        <v>0</v>
      </c>
      <c r="N1608" t="inlineStr">
        <is>
          <t>alt</t>
        </is>
      </c>
      <c r="O1608" t="n">
        <v>-70</v>
      </c>
      <c r="P1608" t="n">
        <v>0.008704999999999999</v>
      </c>
      <c r="Q1608" t="n">
        <v>-45</v>
      </c>
      <c r="R1608" t="n">
        <v>0.0398</v>
      </c>
      <c r="S1608">
        <f>IMAGE("https://mitra.stanford.edu/kundaje/oak/projects/neuro-variants/variant_position/credible/roussos_2024/variant_figures/roussos_2024.infant.GLU/rs413778_count_position.png",4,220,900)</f>
        <v/>
      </c>
      <c r="T1608">
        <f>IMAGE("https://mitra.stanford.edu/kundaje/oak/projects/neuro-variants/variant_position/credible/roussos_2024/variant_figures/roussos_2024.infant.GLU/rs413778_profile_position.png",4,220,900)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-0.06749437680000001</v>
      </c>
      <c r="G1609" t="n">
        <v>0.1101980677213059</v>
      </c>
      <c r="H1609" t="n">
        <v>0.0109144217460044</v>
      </c>
      <c r="I1609" t="n">
        <v>0.6497674758547138</v>
      </c>
      <c r="J1609" t="n">
        <v>0.0774465927379351</v>
      </c>
      <c r="K1609" t="n">
        <v>0.2533197178317138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0.0413</v>
      </c>
      <c r="Q1609" t="n">
        <v>-90</v>
      </c>
      <c r="R1609" t="n">
        <v>0.0895</v>
      </c>
      <c r="S1609">
        <f>IMAGE("https://mitra.stanford.edu/kundaje/oak/projects/neuro-variants/variant_position/credible/roussos_2024/variant_figures/roussos_2024.infant.GLU/rs413917_count_position.png",4,220,900)</f>
        <v/>
      </c>
      <c r="T1609">
        <f>IMAGE("https://mitra.stanford.edu/kundaje/oak/projects/neuro-variants/variant_position/credible/roussos_2024/variant_figures/roussos_2024.infant.GLU/rs413917_profile_position.png",4,220,900)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-0.0639026572</v>
      </c>
      <c r="G1610" t="n">
        <v>0.1243029944602714</v>
      </c>
      <c r="H1610" t="n">
        <v>0.0377355015392262</v>
      </c>
      <c r="I1610" t="n">
        <v>0.0254030746765019</v>
      </c>
      <c r="J1610" t="n">
        <v>0.0976851341519874</v>
      </c>
      <c r="K1610" t="n">
        <v>0.2099493652021238</v>
      </c>
      <c r="L1610" t="b">
        <v>0</v>
      </c>
      <c r="M1610" t="b">
        <v>0</v>
      </c>
      <c r="N1610" t="inlineStr">
        <is>
          <t>ref</t>
        </is>
      </c>
      <c r="O1610" t="n">
        <v>-65</v>
      </c>
      <c r="P1610" t="n">
        <v>0.03102</v>
      </c>
      <c r="Q1610" t="n">
        <v>75</v>
      </c>
      <c r="R1610" t="n">
        <v>0.164</v>
      </c>
      <c r="S1610">
        <f>IMAGE("https://mitra.stanford.edu/kundaje/oak/projects/neuro-variants/variant_position/credible/roussos_2024/variant_figures/roussos_2024.infant.GLU/rs393675_count_position.png",4,220,900)</f>
        <v/>
      </c>
      <c r="T1610">
        <f>IMAGE("https://mitra.stanford.edu/kundaje/oak/projects/neuro-variants/variant_position/credible/roussos_2024/variant_figures/roussos_2024.infant.GLU/rs393675_profile_position.png",4,220,900)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-0.0408091424</v>
      </c>
      <c r="G1611" t="n">
        <v>0.2359058099632978</v>
      </c>
      <c r="H1611" t="n">
        <v>0.0154755276457235</v>
      </c>
      <c r="I1611" t="n">
        <v>0.3422734398575862</v>
      </c>
      <c r="J1611" t="n">
        <v>0.5362519014969465</v>
      </c>
      <c r="K1611" t="n">
        <v>0.0265619753663917</v>
      </c>
      <c r="L1611" t="b">
        <v>0</v>
      </c>
      <c r="M1611" t="b">
        <v>0</v>
      </c>
      <c r="N1611" t="inlineStr">
        <is>
          <t>ref</t>
        </is>
      </c>
      <c r="O1611" t="n">
        <v>-75</v>
      </c>
      <c r="P1611" t="n">
        <v>0.007027</v>
      </c>
      <c r="Q1611" t="n">
        <v>100</v>
      </c>
      <c r="R1611" t="n">
        <v>0.2286</v>
      </c>
      <c r="S1611">
        <f>IMAGE("https://mitra.stanford.edu/kundaje/oak/projects/neuro-variants/variant_position/credible/roussos_2024/variant_figures/roussos_2024.infant.GLU/rs434598_count_position.png",4,220,900)</f>
        <v/>
      </c>
      <c r="T1611">
        <f>IMAGE("https://mitra.stanford.edu/kundaje/oak/projects/neuro-variants/variant_position/credible/roussos_2024/variant_figures/roussos_2024.infant.GLU/rs434598_profile_position.png",4,220,900)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-0.0673818258</v>
      </c>
      <c r="G1612" t="n">
        <v>0.1114962300770328</v>
      </c>
      <c r="H1612" t="n">
        <v>0.0190983974183142</v>
      </c>
      <c r="I1612" t="n">
        <v>0.2077686976962377</v>
      </c>
      <c r="J1612" t="n">
        <v>0.4922606318481447</v>
      </c>
      <c r="K1612" t="n">
        <v>0.0311545882614466</v>
      </c>
      <c r="L1612" t="b">
        <v>0</v>
      </c>
      <c r="M1612" t="b">
        <v>0</v>
      </c>
      <c r="N1612" t="inlineStr">
        <is>
          <t>ref</t>
        </is>
      </c>
      <c r="O1612" t="n">
        <v>-90</v>
      </c>
      <c r="P1612" t="n">
        <v>0.009254</v>
      </c>
      <c r="Q1612" t="n">
        <v>-90</v>
      </c>
      <c r="R1612" t="n">
        <v>0.1512</v>
      </c>
      <c r="S1612">
        <f>IMAGE("https://mitra.stanford.edu/kundaje/oak/projects/neuro-variants/variant_position/credible/roussos_2024/variant_figures/roussos_2024.infant.GLU/rs434971_count_position.png",4,220,900)</f>
        <v/>
      </c>
      <c r="T1612">
        <f>IMAGE("https://mitra.stanford.edu/kundaje/oak/projects/neuro-variants/variant_position/credible/roussos_2024/variant_figures/roussos_2024.infant.GLU/rs434971_profile_position.png",4,220,900)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-0.0871956216</v>
      </c>
      <c r="G1613" t="n">
        <v>0.0783351847854778</v>
      </c>
      <c r="H1613" t="n">
        <v>0.0165361115482381</v>
      </c>
      <c r="I1613" t="n">
        <v>0.2967935198929997</v>
      </c>
      <c r="J1613" t="n">
        <v>0.09705681342181249</v>
      </c>
      <c r="K1613" t="n">
        <v>0.2200758636439368</v>
      </c>
      <c r="L1613" t="b">
        <v>0</v>
      </c>
      <c r="M1613" t="b">
        <v>0</v>
      </c>
      <c r="N1613" t="inlineStr">
        <is>
          <t>ref</t>
        </is>
      </c>
      <c r="O1613" t="n">
        <v>-90</v>
      </c>
      <c r="P1613" t="n">
        <v>0.005417</v>
      </c>
      <c r="Q1613" t="n">
        <v>-90</v>
      </c>
      <c r="R1613" t="n">
        <v>0.06569999999999999</v>
      </c>
      <c r="S1613">
        <f>IMAGE("https://mitra.stanford.edu/kundaje/oak/projects/neuro-variants/variant_position/credible/roussos_2024/variant_figures/roussos_2024.infant.GLU/rs422112_count_position.png",4,220,900)</f>
        <v/>
      </c>
      <c r="T1613">
        <f>IMAGE("https://mitra.stanford.edu/kundaje/oak/projects/neuro-variants/variant_position/credible/roussos_2024/variant_figures/roussos_2024.infant.GLU/rs422112_profile_position.png",4,220,900)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0.0240821916</v>
      </c>
      <c r="G1614" t="n">
        <v>0.3821908059274384</v>
      </c>
      <c r="H1614" t="n">
        <v>0.0102646295336944</v>
      </c>
      <c r="I1614" t="n">
        <v>0.7034705320324296</v>
      </c>
      <c r="J1614" t="n">
        <v>0.0245982054278092</v>
      </c>
      <c r="K1614" t="n">
        <v>0.5023822914025682</v>
      </c>
      <c r="L1614" t="b">
        <v>0</v>
      </c>
      <c r="M1614" t="b">
        <v>0</v>
      </c>
      <c r="N1614" t="inlineStr">
        <is>
          <t>alt</t>
        </is>
      </c>
      <c r="O1614" t="n">
        <v>25</v>
      </c>
      <c r="P1614" t="n">
        <v>0.001465</v>
      </c>
      <c r="Q1614" t="n">
        <v>40</v>
      </c>
      <c r="R1614" t="n">
        <v>0.07679999999999999</v>
      </c>
      <c r="S1614">
        <f>IMAGE("https://mitra.stanford.edu/kundaje/oak/projects/neuro-variants/variant_position/credible/roussos_2024/variant_figures/roussos_2024.infant.GLU/rs241032_count_position.png",4,220,900)</f>
        <v/>
      </c>
      <c r="T1614">
        <f>IMAGE("https://mitra.stanford.edu/kundaje/oak/projects/neuro-variants/variant_position/credible/roussos_2024/variant_figures/roussos_2024.infant.GLU/rs241032_profile_position.png",4,220,900)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0.0607553824</v>
      </c>
      <c r="G1615" t="n">
        <v>0.1266002676858829</v>
      </c>
      <c r="H1615" t="n">
        <v>0.0134779556252772</v>
      </c>
      <c r="I1615" t="n">
        <v>0.4518934983100472</v>
      </c>
      <c r="J1615" t="n">
        <v>0.0181386273947838</v>
      </c>
      <c r="K1615" t="n">
        <v>0.5562814575583941</v>
      </c>
      <c r="L1615" t="b">
        <v>0</v>
      </c>
      <c r="M1615" t="b">
        <v>0</v>
      </c>
      <c r="N1615" t="inlineStr">
        <is>
          <t>alt</t>
        </is>
      </c>
      <c r="O1615" t="n">
        <v>100</v>
      </c>
      <c r="P1615" t="n">
        <v>0.00876</v>
      </c>
      <c r="Q1615" t="n">
        <v>5</v>
      </c>
      <c r="R1615" t="n">
        <v>0.00659</v>
      </c>
      <c r="S1615">
        <f>IMAGE("https://mitra.stanford.edu/kundaje/oak/projects/neuro-variants/variant_position/credible/roussos_2024/variant_figures/roussos_2024.infant.GLU/rs241031_count_position.png",4,220,900)</f>
        <v/>
      </c>
      <c r="T1615">
        <f>IMAGE("https://mitra.stanford.edu/kundaje/oak/projects/neuro-variants/variant_position/credible/roussos_2024/variant_figures/roussos_2024.infant.GLU/rs241031_profile_position.png",4,220,900)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-0.0006103070999999</v>
      </c>
      <c r="G1616" t="n">
        <v>0.6441570818030182</v>
      </c>
      <c r="H1616" t="n">
        <v>0.008730355295330301</v>
      </c>
      <c r="I1616" t="n">
        <v>0.8258606166968839</v>
      </c>
      <c r="J1616" t="n">
        <v>0.0568707423003152</v>
      </c>
      <c r="K1616" t="n">
        <v>0.323136042272766</v>
      </c>
      <c r="L1616" t="b">
        <v>0</v>
      </c>
      <c r="M1616" t="b">
        <v>0</v>
      </c>
      <c r="N1616" t="inlineStr">
        <is>
          <t>ref</t>
        </is>
      </c>
      <c r="O1616" t="n">
        <v>10</v>
      </c>
      <c r="P1616" t="n">
        <v>0.0017395</v>
      </c>
      <c r="Q1616" t="n">
        <v>10</v>
      </c>
      <c r="R1616" t="n">
        <v>0.008789999999999999</v>
      </c>
      <c r="S1616">
        <f>IMAGE("https://mitra.stanford.edu/kundaje/oak/projects/neuro-variants/variant_position/credible/roussos_2024/variant_figures/roussos_2024.infant.GLU/rs241022_count_position.png",4,220,900)</f>
        <v/>
      </c>
      <c r="T1616">
        <f>IMAGE("https://mitra.stanford.edu/kundaje/oak/projects/neuro-variants/variant_position/credible/roussos_2024/variant_figures/roussos_2024.infant.GLU/rs241022_profile_position.png",4,220,900)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0.0631120686</v>
      </c>
      <c r="G1617" t="n">
        <v>0.1173980496214969</v>
      </c>
      <c r="H1617" t="n">
        <v>0.0231055296929176</v>
      </c>
      <c r="I1617" t="n">
        <v>0.127431064754001</v>
      </c>
      <c r="J1617" t="n">
        <v>0.0307270883396899</v>
      </c>
      <c r="K1617" t="n">
        <v>0.4491638218017221</v>
      </c>
      <c r="L1617" t="b">
        <v>0</v>
      </c>
      <c r="M1617" t="b">
        <v>0</v>
      </c>
      <c r="N1617" t="inlineStr">
        <is>
          <t>alt</t>
        </is>
      </c>
      <c r="O1617" t="n">
        <v>-90</v>
      </c>
      <c r="P1617" t="n">
        <v>0.04132</v>
      </c>
      <c r="Q1617" t="n">
        <v>70</v>
      </c>
      <c r="R1617" t="n">
        <v>0.1361</v>
      </c>
      <c r="S1617">
        <f>IMAGE("https://mitra.stanford.edu/kundaje/oak/projects/neuro-variants/variant_position/credible/roussos_2024/variant_figures/roussos_2024.infant.GLU/rs241020_count_position.png",4,220,900)</f>
        <v/>
      </c>
      <c r="T1617">
        <f>IMAGE("https://mitra.stanford.edu/kundaje/oak/projects/neuro-variants/variant_position/credible/roussos_2024/variant_figures/roussos_2024.infant.GLU/rs241020_profile_position.png",4,220,900)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-0.0305453247999999</v>
      </c>
      <c r="G1618" t="n">
        <v>0.3169833680550528</v>
      </c>
      <c r="H1618" t="n">
        <v>0.0469925154567951</v>
      </c>
      <c r="I1618" t="n">
        <v>0.0100672246266892</v>
      </c>
      <c r="J1618" t="n">
        <v>0.0102019444873122</v>
      </c>
      <c r="K1618" t="n">
        <v>0.658324375358979</v>
      </c>
      <c r="L1618" t="b">
        <v>1</v>
      </c>
      <c r="M1618" t="b">
        <v>0</v>
      </c>
      <c r="N1618" t="inlineStr">
        <is>
          <t>ref</t>
        </is>
      </c>
      <c r="O1618" t="n">
        <v>-100</v>
      </c>
      <c r="P1618" t="n">
        <v>0.01071</v>
      </c>
      <c r="Q1618" t="n">
        <v>100</v>
      </c>
      <c r="R1618" t="n">
        <v>0.04272</v>
      </c>
      <c r="S1618">
        <f>IMAGE("https://mitra.stanford.edu/kundaje/oak/projects/neuro-variants/variant_position/credible/roussos_2024/variant_figures/roussos_2024.infant.GLU/rs79675109_count_position.png",4,220,900)</f>
        <v/>
      </c>
      <c r="T1618">
        <f>IMAGE("https://mitra.stanford.edu/kundaje/oak/projects/neuro-variants/variant_position/credible/roussos_2024/variant_figures/roussos_2024.infant.GLU/rs79675109_profile_position.png",4,220,900)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0.141223188</v>
      </c>
      <c r="G1619" t="n">
        <v>0.0241701477194863</v>
      </c>
      <c r="H1619" t="n">
        <v>0.0197399288259131</v>
      </c>
      <c r="I1619" t="n">
        <v>0.1892546861926012</v>
      </c>
      <c r="J1619" t="n">
        <v>0.507258757909125</v>
      </c>
      <c r="K1619" t="n">
        <v>0.0303760785667546</v>
      </c>
      <c r="L1619" t="b">
        <v>0</v>
      </c>
      <c r="M1619" t="b">
        <v>0</v>
      </c>
      <c r="N1619" t="inlineStr">
        <is>
          <t>alt</t>
        </is>
      </c>
      <c r="O1619" t="n">
        <v>60</v>
      </c>
      <c r="P1619" t="n">
        <v>0.00873</v>
      </c>
      <c r="Q1619" t="n">
        <v>-20</v>
      </c>
      <c r="R1619" t="n">
        <v>0.0718</v>
      </c>
      <c r="S1619">
        <f>IMAGE("https://mitra.stanford.edu/kundaje/oak/projects/neuro-variants/variant_position/credible/roussos_2024/variant_figures/roussos_2024.infant.GLU/rs62053950_count_position.png",4,220,900)</f>
        <v/>
      </c>
      <c r="T1619">
        <f>IMAGE("https://mitra.stanford.edu/kundaje/oak/projects/neuro-variants/variant_position/credible/roussos_2024/variant_figures/roussos_2024.infant.GLU/rs62053950_profile_position.png",4,220,900)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0.036786573</v>
      </c>
      <c r="G1620" t="n">
        <v>0.2610849185011123</v>
      </c>
      <c r="H1620" t="n">
        <v>0.013373980815363</v>
      </c>
      <c r="I1620" t="n">
        <v>0.4612573824702017</v>
      </c>
      <c r="J1620" t="n">
        <v>0.304042196697458</v>
      </c>
      <c r="K1620" t="n">
        <v>0.0689052290751333</v>
      </c>
      <c r="L1620" t="b">
        <v>0</v>
      </c>
      <c r="M1620" t="b">
        <v>0</v>
      </c>
      <c r="N1620" t="inlineStr">
        <is>
          <t>alt</t>
        </is>
      </c>
      <c r="O1620" t="n">
        <v>-20</v>
      </c>
      <c r="P1620" t="n">
        <v>0.001755</v>
      </c>
      <c r="Q1620" t="n">
        <v>75</v>
      </c>
      <c r="R1620" t="n">
        <v>0.1054</v>
      </c>
      <c r="S1620">
        <f>IMAGE("https://mitra.stanford.edu/kundaje/oak/projects/neuro-variants/variant_position/credible/roussos_2024/variant_figures/roussos_2024.infant.GLU/rs62053953_count_position.png",4,220,900)</f>
        <v/>
      </c>
      <c r="T1620">
        <f>IMAGE("https://mitra.stanford.edu/kundaje/oak/projects/neuro-variants/variant_position/credible/roussos_2024/variant_figures/roussos_2024.infant.GLU/rs62053953_profile_position.png",4,220,900)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0.0253224121999999</v>
      </c>
      <c r="G1621" t="n">
        <v>0.3685164199769481</v>
      </c>
      <c r="H1621" t="n">
        <v>0.01187567534317</v>
      </c>
      <c r="I1621" t="n">
        <v>0.5710108916072614</v>
      </c>
      <c r="J1621" t="n">
        <v>0.3919420622147754</v>
      </c>
      <c r="K1621" t="n">
        <v>0.0477072445079733</v>
      </c>
      <c r="L1621" t="b">
        <v>0</v>
      </c>
      <c r="M1621" t="b">
        <v>0</v>
      </c>
      <c r="N1621" t="inlineStr">
        <is>
          <t>alt</t>
        </is>
      </c>
      <c r="O1621" t="n">
        <v>100</v>
      </c>
      <c r="P1621" t="n">
        <v>0.02951</v>
      </c>
      <c r="Q1621" t="n">
        <v>100</v>
      </c>
      <c r="R1621" t="n">
        <v>0.1858</v>
      </c>
      <c r="S1621">
        <f>IMAGE("https://mitra.stanford.edu/kundaje/oak/projects/neuro-variants/variant_position/credible/roussos_2024/variant_figures/roussos_2024.infant.GLU/rs17687534_count_position.png",4,220,900)</f>
        <v/>
      </c>
      <c r="T1621">
        <f>IMAGE("https://mitra.stanford.edu/kundaje/oak/projects/neuro-variants/variant_position/credible/roussos_2024/variant_figures/roussos_2024.infant.GLU/rs17687534_profile_position.png",4,220,900)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0.02914254712</v>
      </c>
      <c r="G1622" t="n">
        <v>0.2515247491863411</v>
      </c>
      <c r="H1622" t="n">
        <v>0.0158237749634321</v>
      </c>
      <c r="I1622" t="n">
        <v>0.3205128237438854</v>
      </c>
      <c r="J1622" t="n">
        <v>0.4436473467228113</v>
      </c>
      <c r="K1622" t="n">
        <v>0.0389281322957323</v>
      </c>
      <c r="L1622" t="b">
        <v>0</v>
      </c>
      <c r="M1622" t="b">
        <v>0</v>
      </c>
      <c r="N1622" t="inlineStr">
        <is>
          <t>alt</t>
        </is>
      </c>
      <c r="O1622" t="n">
        <v>-30</v>
      </c>
      <c r="P1622" t="n">
        <v>0.01715</v>
      </c>
      <c r="Q1622" t="n">
        <v>-30</v>
      </c>
      <c r="R1622" t="n">
        <v>0.1631</v>
      </c>
      <c r="S1622">
        <f>IMAGE("https://mitra.stanford.edu/kundaje/oak/projects/neuro-variants/variant_position/credible/roussos_2024/variant_figures/roussos_2024.infant.GLU/rs1631850_count_position.png",4,220,900)</f>
        <v/>
      </c>
      <c r="T1622">
        <f>IMAGE("https://mitra.stanford.edu/kundaje/oak/projects/neuro-variants/variant_position/credible/roussos_2024/variant_figures/roussos_2024.infant.GLU/rs1631850_profile_position.png",4,220,900)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0.06078859012</v>
      </c>
      <c r="G1623" t="n">
        <v>0.1335214325635801</v>
      </c>
      <c r="H1623" t="n">
        <v>0.0176310448460267</v>
      </c>
      <c r="I1623" t="n">
        <v>0.2521050918732023</v>
      </c>
      <c r="J1623" t="n">
        <v>0.4290956590753764</v>
      </c>
      <c r="K1623" t="n">
        <v>0.0407713602128089</v>
      </c>
      <c r="L1623" t="b">
        <v>0</v>
      </c>
      <c r="M1623" t="b">
        <v>0</v>
      </c>
      <c r="N1623" t="inlineStr">
        <is>
          <t>alt</t>
        </is>
      </c>
      <c r="O1623" t="n">
        <v>-70</v>
      </c>
      <c r="P1623" t="n">
        <v>0.05972</v>
      </c>
      <c r="Q1623" t="n">
        <v>-70</v>
      </c>
      <c r="R1623" t="n">
        <v>0.4707</v>
      </c>
      <c r="S1623">
        <f>IMAGE("https://mitra.stanford.edu/kundaje/oak/projects/neuro-variants/variant_position/credible/roussos_2024/variant_figures/roussos_2024.infant.GLU/rs62053955_count_position.png",4,220,900)</f>
        <v/>
      </c>
      <c r="T1623">
        <f>IMAGE("https://mitra.stanford.edu/kundaje/oak/projects/neuro-variants/variant_position/credible/roussos_2024/variant_figures/roussos_2024.infant.GLU/rs62053955_profile_position.png",4,220,900)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-0.0139480439357999</v>
      </c>
      <c r="G1624" t="n">
        <v>0.5789183600922148</v>
      </c>
      <c r="H1624" t="n">
        <v>0.0086513528120975</v>
      </c>
      <c r="I1624" t="n">
        <v>0.8643897148177863</v>
      </c>
      <c r="J1624" t="n">
        <v>0.0449943781829404</v>
      </c>
      <c r="K1624" t="n">
        <v>0.3718339222694526</v>
      </c>
      <c r="L1624" t="b">
        <v>0</v>
      </c>
      <c r="M1624" t="b">
        <v>0</v>
      </c>
      <c r="N1624" t="inlineStr">
        <is>
          <t>ref</t>
        </is>
      </c>
      <c r="O1624" t="n">
        <v>60</v>
      </c>
      <c r="P1624" t="n">
        <v>0.0183</v>
      </c>
      <c r="Q1624" t="n">
        <v>100</v>
      </c>
      <c r="R1624" t="n">
        <v>0.04138</v>
      </c>
      <c r="S1624">
        <f>IMAGE("https://mitra.stanford.edu/kundaje/oak/projects/neuro-variants/variant_position/credible/roussos_2024/variant_figures/roussos_2024.infant.GLU/rs62055662_count_position.png",4,220,900)</f>
        <v/>
      </c>
      <c r="T1624">
        <f>IMAGE("https://mitra.stanford.edu/kundaje/oak/projects/neuro-variants/variant_position/credible/roussos_2024/variant_figures/roussos_2024.infant.GLU/rs62055662_profile_position.png",4,220,900)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0.127096788</v>
      </c>
      <c r="G1625" t="n">
        <v>0.0297412643494866</v>
      </c>
      <c r="H1625" t="n">
        <v>0.0334470712425619</v>
      </c>
      <c r="I1625" t="n">
        <v>0.0397678484136928</v>
      </c>
      <c r="J1625" t="n">
        <v>0.4606638153398443</v>
      </c>
      <c r="K1625" t="n">
        <v>0.0357993100759428</v>
      </c>
      <c r="L1625" t="b">
        <v>0</v>
      </c>
      <c r="M1625" t="b">
        <v>0</v>
      </c>
      <c r="N1625" t="inlineStr">
        <is>
          <t>alt</t>
        </is>
      </c>
      <c r="O1625" t="n">
        <v>-25</v>
      </c>
      <c r="P1625" t="n">
        <v>0.01111</v>
      </c>
      <c r="Q1625" t="n">
        <v>60</v>
      </c>
      <c r="R1625" t="n">
        <v>0.1436</v>
      </c>
      <c r="S1625">
        <f>IMAGE("https://mitra.stanford.edu/kundaje/oak/projects/neuro-variants/variant_position/credible/roussos_2024/variant_figures/roussos_2024.infant.GLU/rs757500_count_position.png",4,220,900)</f>
        <v/>
      </c>
      <c r="T1625">
        <f>IMAGE("https://mitra.stanford.edu/kundaje/oak/projects/neuro-variants/variant_position/credible/roussos_2024/variant_figures/roussos_2024.infant.GLU/rs757500_profile_position.png",4,220,900)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-0.160730942</v>
      </c>
      <c r="G1626" t="n">
        <v>0.0181413828060382</v>
      </c>
      <c r="H1626" t="n">
        <v>0.0287615065340357</v>
      </c>
      <c r="I1626" t="n">
        <v>0.0661327074297305</v>
      </c>
      <c r="J1626" t="n">
        <v>0.4030699530412928</v>
      </c>
      <c r="K1626" t="n">
        <v>0.0446193164564757</v>
      </c>
      <c r="L1626" t="b">
        <v>1</v>
      </c>
      <c r="M1626" t="b">
        <v>0</v>
      </c>
      <c r="N1626" t="inlineStr">
        <is>
          <t>ref</t>
        </is>
      </c>
      <c r="O1626" t="n">
        <v>-100</v>
      </c>
      <c r="P1626" t="n">
        <v>0.03064</v>
      </c>
      <c r="Q1626" t="n">
        <v>-15</v>
      </c>
      <c r="R1626" t="n">
        <v>0.1616</v>
      </c>
      <c r="S1626">
        <f>IMAGE("https://mitra.stanford.edu/kundaje/oak/projects/neuro-variants/variant_position/credible/roussos_2024/variant_figures/roussos_2024.infant.GLU/rs62055693_count_position.png",4,220,900)</f>
        <v/>
      </c>
      <c r="T1626">
        <f>IMAGE("https://mitra.stanford.edu/kundaje/oak/projects/neuro-variants/variant_position/credible/roussos_2024/variant_figures/roussos_2024.infant.GLU/rs62055693_profile_position.png",4,220,900)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0.0692100932</v>
      </c>
      <c r="G1627" t="n">
        <v>0.1082321606818383</v>
      </c>
      <c r="H1627" t="n">
        <v>0.0222948838318259</v>
      </c>
      <c r="I1627" t="n">
        <v>0.1438136987328766</v>
      </c>
      <c r="J1627" t="n">
        <v>0.0570129412024074</v>
      </c>
      <c r="K1627" t="n">
        <v>0.3249995265230521</v>
      </c>
      <c r="L1627" t="b">
        <v>0</v>
      </c>
      <c r="M1627" t="b">
        <v>0</v>
      </c>
      <c r="N1627" t="inlineStr">
        <is>
          <t>alt</t>
        </is>
      </c>
      <c r="O1627" t="n">
        <v>100</v>
      </c>
      <c r="P1627" t="n">
        <v>0.01054</v>
      </c>
      <c r="Q1627" t="n">
        <v>15</v>
      </c>
      <c r="R1627" t="n">
        <v>0.0418</v>
      </c>
      <c r="S1627">
        <f>IMAGE("https://mitra.stanford.edu/kundaje/oak/projects/neuro-variants/variant_position/credible/roussos_2024/variant_figures/roussos_2024.infant.GLU/rs17687849_count_position.png",4,220,900)</f>
        <v/>
      </c>
      <c r="T1627">
        <f>IMAGE("https://mitra.stanford.edu/kundaje/oak/projects/neuro-variants/variant_position/credible/roussos_2024/variant_figures/roussos_2024.infant.GLU/rs17687849_profile_position.png",4,220,900)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-0.008519103199999999</v>
      </c>
      <c r="G1628" t="n">
        <v>0.6421918841168303</v>
      </c>
      <c r="H1628" t="n">
        <v>0.0352377508932059</v>
      </c>
      <c r="I1628" t="n">
        <v>0.0334427169517016</v>
      </c>
      <c r="J1628" t="n">
        <v>0.0052845080358913</v>
      </c>
      <c r="K1628" t="n">
        <v>0.7433244300996874</v>
      </c>
      <c r="L1628" t="b">
        <v>0</v>
      </c>
      <c r="M1628" t="b">
        <v>0</v>
      </c>
      <c r="N1628" t="inlineStr">
        <is>
          <t>ref</t>
        </is>
      </c>
      <c r="O1628" t="n">
        <v>-60</v>
      </c>
      <c r="P1628" t="n">
        <v>0.01141</v>
      </c>
      <c r="Q1628" t="n">
        <v>-95</v>
      </c>
      <c r="R1628" t="n">
        <v>0.004257</v>
      </c>
      <c r="S1628">
        <f>IMAGE("https://mitra.stanford.edu/kundaje/oak/projects/neuro-variants/variant_position/credible/roussos_2024/variant_figures/roussos_2024.infant.GLU/rs62055706_count_position.png",4,220,900)</f>
        <v/>
      </c>
      <c r="T1628">
        <f>IMAGE("https://mitra.stanford.edu/kundaje/oak/projects/neuro-variants/variant_position/credible/roussos_2024/variant_figures/roussos_2024.infant.GLU/rs62055706_profile_position.png",4,220,900)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-0.0097171830199999</v>
      </c>
      <c r="G1629" t="n">
        <v>0.1698036198451241</v>
      </c>
      <c r="H1629" t="n">
        <v>0.0158906681486462</v>
      </c>
      <c r="I1629" t="n">
        <v>0.3171433108564489</v>
      </c>
      <c r="J1629" t="n">
        <v>0.047341211225997</v>
      </c>
      <c r="K1629" t="n">
        <v>0.3683749334340259</v>
      </c>
      <c r="L1629" t="b">
        <v>0</v>
      </c>
      <c r="M1629" t="b">
        <v>0</v>
      </c>
      <c r="N1629" t="inlineStr">
        <is>
          <t>ref</t>
        </is>
      </c>
      <c r="O1629" t="n">
        <v>100</v>
      </c>
      <c r="P1629" t="n">
        <v>0.0371</v>
      </c>
      <c r="Q1629" t="n">
        <v>-45</v>
      </c>
      <c r="R1629" t="n">
        <v>0.03613</v>
      </c>
      <c r="S1629">
        <f>IMAGE("https://mitra.stanford.edu/kundaje/oak/projects/neuro-variants/variant_position/credible/roussos_2024/variant_figures/roussos_2024.infant.GLU/rs2158474_count_position.png",4,220,900)</f>
        <v/>
      </c>
      <c r="T1629">
        <f>IMAGE("https://mitra.stanford.edu/kundaje/oak/projects/neuro-variants/variant_position/credible/roussos_2024/variant_figures/roussos_2024.infant.GLU/rs2158474_profile_position.png",4,220,900)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-0.172898254</v>
      </c>
      <c r="G1630" t="n">
        <v>0.0155209369670218</v>
      </c>
      <c r="H1630" t="n">
        <v>0.0289001231975358</v>
      </c>
      <c r="I1630" t="n">
        <v>0.0654301438555599</v>
      </c>
      <c r="J1630" t="n">
        <v>0.0463844000088185</v>
      </c>
      <c r="K1630" t="n">
        <v>0.373512237936138</v>
      </c>
      <c r="L1630" t="b">
        <v>1</v>
      </c>
      <c r="M1630" t="b">
        <v>0</v>
      </c>
      <c r="N1630" t="inlineStr">
        <is>
          <t>ref</t>
        </is>
      </c>
      <c r="O1630" t="n">
        <v>100</v>
      </c>
      <c r="P1630" t="n">
        <v>0.08203000000000001</v>
      </c>
      <c r="Q1630" t="n">
        <v>90</v>
      </c>
      <c r="R1630" t="n">
        <v>0.07679999999999999</v>
      </c>
      <c r="S1630">
        <f>IMAGE("https://mitra.stanford.edu/kundaje/oak/projects/neuro-variants/variant_position/credible/roussos_2024/variant_figures/roussos_2024.infant.GLU/rs62055708_count_position.png",4,220,900)</f>
        <v/>
      </c>
      <c r="T1630">
        <f>IMAGE("https://mitra.stanford.edu/kundaje/oak/projects/neuro-variants/variant_position/credible/roussos_2024/variant_figures/roussos_2024.infant.GLU/rs62055708_profile_position.png",4,220,900)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-0.182292606</v>
      </c>
      <c r="G1631" t="n">
        <v>0.0130447948117848</v>
      </c>
      <c r="H1631" t="n">
        <v>0.0268921472595233</v>
      </c>
      <c r="I1631" t="n">
        <v>0.0818042838991544</v>
      </c>
      <c r="J1631" t="n">
        <v>0.5924557419696201</v>
      </c>
      <c r="K1631" t="n">
        <v>0.0218796045827822</v>
      </c>
      <c r="L1631" t="b">
        <v>1</v>
      </c>
      <c r="M1631" t="b">
        <v>0</v>
      </c>
      <c r="N1631" t="inlineStr">
        <is>
          <t>ref</t>
        </is>
      </c>
      <c r="O1631" t="n">
        <v>90</v>
      </c>
      <c r="P1631" t="n">
        <v>0.01987</v>
      </c>
      <c r="Q1631" t="n">
        <v>75</v>
      </c>
      <c r="R1631" t="n">
        <v>0.0762</v>
      </c>
      <c r="S1631">
        <f>IMAGE("https://mitra.stanford.edu/kundaje/oak/projects/neuro-variants/variant_position/credible/roussos_2024/variant_figures/roussos_2024.infant.GLU/rs62055714_count_position.png",4,220,900)</f>
        <v/>
      </c>
      <c r="T1631">
        <f>IMAGE("https://mitra.stanford.edu/kundaje/oak/projects/neuro-variants/variant_position/credible/roussos_2024/variant_figures/roussos_2024.infant.GLU/rs62055714_profile_position.png",4,220,900)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0.0186639802</v>
      </c>
      <c r="G1632" t="n">
        <v>0.4591101458101242</v>
      </c>
      <c r="H1632" t="n">
        <v>0.0077869087239234</v>
      </c>
      <c r="I1632" t="n">
        <v>0.9239922346929816</v>
      </c>
      <c r="J1632" t="n">
        <v>0.07908132895346009</v>
      </c>
      <c r="K1632" t="n">
        <v>0.2608632544468978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0.0195</v>
      </c>
      <c r="Q1632" t="n">
        <v>-35</v>
      </c>
      <c r="R1632" t="n">
        <v>0.06085</v>
      </c>
      <c r="S1632">
        <f>IMAGE("https://mitra.stanford.edu/kundaje/oak/projects/neuro-variants/variant_position/credible/roussos_2024/variant_figures/roussos_2024.infant.GLU/rs56323832_count_position.png",4,220,900)</f>
        <v/>
      </c>
      <c r="T1632">
        <f>IMAGE("https://mitra.stanford.edu/kundaje/oak/projects/neuro-variants/variant_position/credible/roussos_2024/variant_figures/roussos_2024.infant.GLU/rs56323832_profile_position.png",4,220,900)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-0.0090085083999999</v>
      </c>
      <c r="G1633" t="n">
        <v>0.3777019044331046</v>
      </c>
      <c r="H1633" t="n">
        <v>0.0124491534295795</v>
      </c>
      <c r="I1633" t="n">
        <v>0.5281353544223713</v>
      </c>
      <c r="J1633" t="n">
        <v>0.317231420445777</v>
      </c>
      <c r="K1633" t="n">
        <v>0.0631191425906306</v>
      </c>
      <c r="L1633" t="b">
        <v>0</v>
      </c>
      <c r="M1633" t="b">
        <v>0</v>
      </c>
      <c r="N1633" t="inlineStr">
        <is>
          <t>ref</t>
        </is>
      </c>
      <c r="O1633" t="n">
        <v>-70</v>
      </c>
      <c r="P1633" t="n">
        <v>0.0588</v>
      </c>
      <c r="Q1633" t="n">
        <v>-100</v>
      </c>
      <c r="R1633" t="n">
        <v>0.2476</v>
      </c>
      <c r="S1633">
        <f>IMAGE("https://mitra.stanford.edu/kundaje/oak/projects/neuro-variants/variant_position/credible/roussos_2024/variant_figures/roussos_2024.infant.GLU/rs62056864_count_position.png",4,220,900)</f>
        <v/>
      </c>
      <c r="T1633">
        <f>IMAGE("https://mitra.stanford.edu/kundaje/oak/projects/neuro-variants/variant_position/credible/roussos_2024/variant_figures/roussos_2024.infant.GLU/rs62056864_profile_position.png",4,220,900)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0.1039564962</v>
      </c>
      <c r="G1634" t="n">
        <v>0.0491006162129519</v>
      </c>
      <c r="H1634" t="n">
        <v>0.037076015300734</v>
      </c>
      <c r="I1634" t="n">
        <v>0.027364287892711</v>
      </c>
      <c r="J1634" t="n">
        <v>0.0906181794131263</v>
      </c>
      <c r="K1634" t="n">
        <v>0.2249833914333961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0.0546</v>
      </c>
      <c r="Q1634" t="n">
        <v>90</v>
      </c>
      <c r="R1634" t="n">
        <v>0.1658</v>
      </c>
      <c r="S1634">
        <f>IMAGE("https://mitra.stanford.edu/kundaje/oak/projects/neuro-variants/variant_position/credible/roussos_2024/variant_figures/roussos_2024.infant.GLU/rs56200760_count_position.png",4,220,900)</f>
        <v/>
      </c>
      <c r="T1634">
        <f>IMAGE("https://mitra.stanford.edu/kundaje/oak/projects/neuro-variants/variant_position/credible/roussos_2024/variant_figures/roussos_2024.infant.GLU/rs56200760_profile_position.png",4,220,900)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0.02332381428</v>
      </c>
      <c r="G1635" t="n">
        <v>0.4048591215738151</v>
      </c>
      <c r="H1635" t="n">
        <v>0.0169408479155558</v>
      </c>
      <c r="I1635" t="n">
        <v>0.2756877726395366</v>
      </c>
      <c r="J1635" t="n">
        <v>0.0892336691726007</v>
      </c>
      <c r="K1635" t="n">
        <v>0.2282828311289076</v>
      </c>
      <c r="L1635" t="b">
        <v>0</v>
      </c>
      <c r="M1635" t="b">
        <v>0</v>
      </c>
      <c r="N1635" t="inlineStr">
        <is>
          <t>alt</t>
        </is>
      </c>
      <c r="O1635" t="n">
        <v>-55</v>
      </c>
      <c r="P1635" t="n">
        <v>0.00843</v>
      </c>
      <c r="Q1635" t="n">
        <v>35</v>
      </c>
      <c r="R1635" t="n">
        <v>0.1063</v>
      </c>
      <c r="S1635">
        <f>IMAGE("https://mitra.stanford.edu/kundaje/oak/projects/neuro-variants/variant_position/credible/roussos_2024/variant_figures/roussos_2024.infant.GLU/rs17688391_count_position.png",4,220,900)</f>
        <v/>
      </c>
      <c r="T1635">
        <f>IMAGE("https://mitra.stanford.edu/kundaje/oak/projects/neuro-variants/variant_position/credible/roussos_2024/variant_figures/roussos_2024.infant.GLU/rs17688391_profile_position.png",4,220,900)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0.1547742446</v>
      </c>
      <c r="G1636" t="n">
        <v>0.0241754828659447</v>
      </c>
      <c r="H1636" t="n">
        <v>0.0375097868437552</v>
      </c>
      <c r="I1636" t="n">
        <v>0.0286577931045634</v>
      </c>
      <c r="J1636" t="n">
        <v>0.1937785224541987</v>
      </c>
      <c r="K1636" t="n">
        <v>0.1155503938849564</v>
      </c>
      <c r="L1636" t="b">
        <v>0</v>
      </c>
      <c r="M1636" t="b">
        <v>0</v>
      </c>
      <c r="N1636" t="inlineStr">
        <is>
          <t>alt</t>
        </is>
      </c>
      <c r="O1636" t="n">
        <v>-25</v>
      </c>
      <c r="P1636" t="n">
        <v>0.000473</v>
      </c>
      <c r="Q1636" t="n">
        <v>55</v>
      </c>
      <c r="R1636" t="n">
        <v>0.08057</v>
      </c>
      <c r="S1636">
        <f>IMAGE("https://mitra.stanford.edu/kundaje/oak/projects/neuro-variants/variant_position/credible/roussos_2024/variant_figures/roussos_2024.infant.GLU/rs17688410_count_position.png",4,220,900)</f>
        <v/>
      </c>
      <c r="T1636">
        <f>IMAGE("https://mitra.stanford.edu/kundaje/oak/projects/neuro-variants/variant_position/credible/roussos_2024/variant_figures/roussos_2024.infant.GLU/rs17688410_profile_position.png",4,220,900)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0.0345769088599999</v>
      </c>
      <c r="G1637" t="n">
        <v>0.2743770850745388</v>
      </c>
      <c r="H1637" t="n">
        <v>0.0155674940177103</v>
      </c>
      <c r="I1637" t="n">
        <v>0.3356645861988159</v>
      </c>
      <c r="J1637" t="n">
        <v>0.1209627637293591</v>
      </c>
      <c r="K1637" t="n">
        <v>0.1766642185045758</v>
      </c>
      <c r="L1637" t="b">
        <v>0</v>
      </c>
      <c r="M1637" t="b">
        <v>0</v>
      </c>
      <c r="N1637" t="inlineStr">
        <is>
          <t>alt</t>
        </is>
      </c>
      <c r="O1637" t="n">
        <v>45</v>
      </c>
      <c r="P1637" t="n">
        <v>0.01083</v>
      </c>
      <c r="Q1637" t="n">
        <v>-65</v>
      </c>
      <c r="R1637" t="n">
        <v>0.1299</v>
      </c>
      <c r="S1637">
        <f>IMAGE("https://mitra.stanford.edu/kundaje/oak/projects/neuro-variants/variant_position/credible/roussos_2024/variant_figures/roussos_2024.infant.GLU/rs17688558_count_position.png",4,220,900)</f>
        <v/>
      </c>
      <c r="T1637">
        <f>IMAGE("https://mitra.stanford.edu/kundaje/oak/projects/neuro-variants/variant_position/credible/roussos_2024/variant_figures/roussos_2024.infant.GLU/rs17688558_profile_position.png",4,220,900)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0.0172912727</v>
      </c>
      <c r="G1638" t="n">
        <v>0.4758978630578435</v>
      </c>
      <c r="H1638" t="n">
        <v>0.0149205626644561</v>
      </c>
      <c r="I1638" t="n">
        <v>0.3639697353278733</v>
      </c>
      <c r="J1638" t="n">
        <v>0.1328975506514693</v>
      </c>
      <c r="K1638" t="n">
        <v>0.1681911342757529</v>
      </c>
      <c r="L1638" t="b">
        <v>0</v>
      </c>
      <c r="M1638" t="b">
        <v>0</v>
      </c>
      <c r="N1638" t="inlineStr">
        <is>
          <t>alt</t>
        </is>
      </c>
      <c r="O1638" t="n">
        <v>-70</v>
      </c>
      <c r="P1638" t="n">
        <v>0.003147</v>
      </c>
      <c r="Q1638" t="n">
        <v>35</v>
      </c>
      <c r="R1638" t="n">
        <v>0.03244</v>
      </c>
      <c r="S1638">
        <f>IMAGE("https://mitra.stanford.edu/kundaje/oak/projects/neuro-variants/variant_position/credible/roussos_2024/variant_figures/roussos_2024.infant.GLU/rs56162163_count_position.png",4,220,900)</f>
        <v/>
      </c>
      <c r="T1638">
        <f>IMAGE("https://mitra.stanford.edu/kundaje/oak/projects/neuro-variants/variant_position/credible/roussos_2024/variant_figures/roussos_2024.infant.GLU/rs56162163_profile_position.png",4,220,900)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-0.03515573294</v>
      </c>
      <c r="G1639" t="n">
        <v>0.2799518458099392</v>
      </c>
      <c r="H1639" t="n">
        <v>0.0324495794513335</v>
      </c>
      <c r="I1639" t="n">
        <v>0.0442637021097799</v>
      </c>
      <c r="J1639" t="n">
        <v>0.0969278423245661</v>
      </c>
      <c r="K1639" t="n">
        <v>0.2341888669282361</v>
      </c>
      <c r="L1639" t="b">
        <v>0</v>
      </c>
      <c r="M1639" t="b">
        <v>0</v>
      </c>
      <c r="N1639" t="inlineStr">
        <is>
          <t>ref</t>
        </is>
      </c>
      <c r="O1639" t="n">
        <v>-15</v>
      </c>
      <c r="P1639" t="n">
        <v>0.003204</v>
      </c>
      <c r="Q1639" t="n">
        <v>-80</v>
      </c>
      <c r="R1639" t="n">
        <v>0.0835</v>
      </c>
      <c r="S1639">
        <f>IMAGE("https://mitra.stanford.edu/kundaje/oak/projects/neuro-variants/variant_position/credible/roussos_2024/variant_figures/roussos_2024.infant.GLU/rs56391096_count_position.png",4,220,900)</f>
        <v/>
      </c>
      <c r="T1639">
        <f>IMAGE("https://mitra.stanford.edu/kundaje/oak/projects/neuro-variants/variant_position/credible/roussos_2024/variant_figures/roussos_2024.infant.GLU/rs56391096_profile_position.png",4,220,900)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0.00198808864</v>
      </c>
      <c r="G1640" t="n">
        <v>0.7377670039200663</v>
      </c>
      <c r="H1640" t="n">
        <v>0.0115939872052925</v>
      </c>
      <c r="I1640" t="n">
        <v>0.5928354620683125</v>
      </c>
      <c r="J1640" t="n">
        <v>0.06665270398377381</v>
      </c>
      <c r="K1640" t="n">
        <v>0.3033225753957499</v>
      </c>
      <c r="L1640" t="b">
        <v>0</v>
      </c>
      <c r="M1640" t="b">
        <v>0</v>
      </c>
      <c r="N1640" t="inlineStr">
        <is>
          <t>alt</t>
        </is>
      </c>
      <c r="O1640" t="n">
        <v>-100</v>
      </c>
      <c r="P1640" t="n">
        <v>0.02475</v>
      </c>
      <c r="Q1640" t="n">
        <v>90</v>
      </c>
      <c r="R1640" t="n">
        <v>0.2352</v>
      </c>
      <c r="S1640">
        <f>IMAGE("https://mitra.stanford.edu/kundaje/oak/projects/neuro-variants/variant_position/credible/roussos_2024/variant_figures/roussos_2024.infant.GLU/rs62056872_count_position.png",4,220,900)</f>
        <v/>
      </c>
      <c r="T1640">
        <f>IMAGE("https://mitra.stanford.edu/kundaje/oak/projects/neuro-variants/variant_position/credible/roussos_2024/variant_figures/roussos_2024.infant.GLU/rs62056872_profile_position.png",4,220,900)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0.042658681</v>
      </c>
      <c r="G1641" t="n">
        <v>0.2192190597682579</v>
      </c>
      <c r="H1641" t="n">
        <v>0.0189761406451945</v>
      </c>
      <c r="I1641" t="n">
        <v>0.2112567390291063</v>
      </c>
      <c r="J1641" t="n">
        <v>0.0218457197028152</v>
      </c>
      <c r="K1641" t="n">
        <v>0.5469591600683154</v>
      </c>
      <c r="L1641" t="b">
        <v>0</v>
      </c>
      <c r="M1641" t="b">
        <v>0</v>
      </c>
      <c r="N1641" t="inlineStr">
        <is>
          <t>alt</t>
        </is>
      </c>
      <c r="O1641" t="n">
        <v>-100</v>
      </c>
      <c r="P1641" t="n">
        <v>0.005512</v>
      </c>
      <c r="Q1641" t="n">
        <v>-100</v>
      </c>
      <c r="R1641" t="n">
        <v>0.11255</v>
      </c>
      <c r="S1641">
        <f>IMAGE("https://mitra.stanford.edu/kundaje/oak/projects/neuro-variants/variant_position/credible/roussos_2024/variant_figures/roussos_2024.infant.GLU/rs12150608_count_position.png",4,220,900)</f>
        <v/>
      </c>
      <c r="T1641">
        <f>IMAGE("https://mitra.stanford.edu/kundaje/oak/projects/neuro-variants/variant_position/credible/roussos_2024/variant_figures/roussos_2024.infant.GLU/rs12150608_profile_position.png",4,220,900)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0.0334843492</v>
      </c>
      <c r="G1642" t="n">
        <v>0.2811410345190327</v>
      </c>
      <c r="H1642" t="n">
        <v>0.0113877928166972</v>
      </c>
      <c r="I1642" t="n">
        <v>0.609363752355385</v>
      </c>
      <c r="J1642" t="n">
        <v>0.014755616305474</v>
      </c>
      <c r="K1642" t="n">
        <v>0.6162644891932658</v>
      </c>
      <c r="L1642" t="b">
        <v>0</v>
      </c>
      <c r="M1642" t="b">
        <v>0</v>
      </c>
      <c r="N1642" t="inlineStr">
        <is>
          <t>alt</t>
        </is>
      </c>
      <c r="O1642" t="n">
        <v>-75</v>
      </c>
      <c r="P1642" t="n">
        <v>0.00457</v>
      </c>
      <c r="Q1642" t="n">
        <v>-85</v>
      </c>
      <c r="R1642" t="n">
        <v>0.0468</v>
      </c>
      <c r="S1642">
        <f>IMAGE("https://mitra.stanford.edu/kundaje/oak/projects/neuro-variants/variant_position/credible/roussos_2024/variant_figures/roussos_2024.infant.GLU/rs12150547_count_position.png",4,220,900)</f>
        <v/>
      </c>
      <c r="T1642">
        <f>IMAGE("https://mitra.stanford.edu/kundaje/oak/projects/neuro-variants/variant_position/credible/roussos_2024/variant_figures/roussos_2024.infant.GLU/rs12150547_profile_position.png",4,220,900)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0.0340169722</v>
      </c>
      <c r="G1643" t="n">
        <v>0.2722942292159707</v>
      </c>
      <c r="H1643" t="n">
        <v>0.0231369601081811</v>
      </c>
      <c r="I1643" t="n">
        <v>0.1256594115019426</v>
      </c>
      <c r="J1643" t="n">
        <v>0.0374655525915473</v>
      </c>
      <c r="K1643" t="n">
        <v>0.4095107846929779</v>
      </c>
      <c r="L1643" t="b">
        <v>0</v>
      </c>
      <c r="M1643" t="b">
        <v>0</v>
      </c>
      <c r="N1643" t="inlineStr">
        <is>
          <t>alt</t>
        </is>
      </c>
      <c r="O1643" t="n">
        <v>-40</v>
      </c>
      <c r="P1643" t="n">
        <v>0.002464</v>
      </c>
      <c r="Q1643" t="n">
        <v>35</v>
      </c>
      <c r="R1643" t="n">
        <v>0.0848</v>
      </c>
      <c r="S1643">
        <f>IMAGE("https://mitra.stanford.edu/kundaje/oak/projects/neuro-variants/variant_position/credible/roussos_2024/variant_figures/roussos_2024.infant.GLU/rs62056874_count_position.png",4,220,900)</f>
        <v/>
      </c>
      <c r="T1643">
        <f>IMAGE("https://mitra.stanford.edu/kundaje/oak/projects/neuro-variants/variant_position/credible/roussos_2024/variant_figures/roussos_2024.infant.GLU/rs62056874_profile_position.png",4,220,900)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-0.0234726316</v>
      </c>
      <c r="G1644" t="n">
        <v>0.4125251226988179</v>
      </c>
      <c r="H1644" t="n">
        <v>0.0084623044978699</v>
      </c>
      <c r="I1644" t="n">
        <v>0.8725052092710184</v>
      </c>
      <c r="J1644" t="n">
        <v>0.1689984347097599</v>
      </c>
      <c r="K1644" t="n">
        <v>0.1320236151702432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0.04572</v>
      </c>
      <c r="Q1644" t="n">
        <v>-95</v>
      </c>
      <c r="R1644" t="n">
        <v>0.2583</v>
      </c>
      <c r="S1644">
        <f>IMAGE("https://mitra.stanford.edu/kundaje/oak/projects/neuro-variants/variant_position/credible/roussos_2024/variant_figures/roussos_2024.infant.GLU/rs17762308_count_position.png",4,220,900)</f>
        <v/>
      </c>
      <c r="T1644">
        <f>IMAGE("https://mitra.stanford.edu/kundaje/oak/projects/neuro-variants/variant_position/credible/roussos_2024/variant_figures/roussos_2024.infant.GLU/rs17762308_profile_position.png",4,220,900)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-0.163200887</v>
      </c>
      <c r="G1645" t="n">
        <v>0.017908021706566</v>
      </c>
      <c r="H1645" t="n">
        <v>0.0361644983127316</v>
      </c>
      <c r="I1645" t="n">
        <v>0.0302755429219483</v>
      </c>
      <c r="J1645" t="n">
        <v>0.0599362860733261</v>
      </c>
      <c r="K1645" t="n">
        <v>0.3022341660671621</v>
      </c>
      <c r="L1645" t="b">
        <v>1</v>
      </c>
      <c r="M1645" t="b">
        <v>0</v>
      </c>
      <c r="N1645" t="inlineStr">
        <is>
          <t>ref</t>
        </is>
      </c>
      <c r="O1645" t="n">
        <v>70</v>
      </c>
      <c r="P1645" t="n">
        <v>0.00818</v>
      </c>
      <c r="Q1645" t="n">
        <v>20</v>
      </c>
      <c r="R1645" t="n">
        <v>0.0293</v>
      </c>
      <c r="S1645">
        <f>IMAGE("https://mitra.stanford.edu/kundaje/oak/projects/neuro-variants/variant_position/credible/roussos_2024/variant_figures/roussos_2024.infant.GLU/rs62056909_count_position.png",4,220,900)</f>
        <v/>
      </c>
      <c r="T1645">
        <f>IMAGE("https://mitra.stanford.edu/kundaje/oak/projects/neuro-variants/variant_position/credible/roussos_2024/variant_figures/roussos_2024.infant.GLU/rs62056909_profile_position.png",4,220,900)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-0.00300207512</v>
      </c>
      <c r="G1646" t="n">
        <v>0.7841204672429969</v>
      </c>
      <c r="H1646" t="n">
        <v>0.0111793151411945</v>
      </c>
      <c r="I1646" t="n">
        <v>0.6317948027560717</v>
      </c>
      <c r="J1646" t="n">
        <v>0.0516204060936087</v>
      </c>
      <c r="K1646" t="n">
        <v>0.3330661912201965</v>
      </c>
      <c r="L1646" t="b">
        <v>0</v>
      </c>
      <c r="M1646" t="b">
        <v>0</v>
      </c>
      <c r="N1646" t="inlineStr">
        <is>
          <t>ref</t>
        </is>
      </c>
      <c r="O1646" t="n">
        <v>-50</v>
      </c>
      <c r="P1646" t="n">
        <v>0.002266</v>
      </c>
      <c r="Q1646" t="n">
        <v>20</v>
      </c>
      <c r="R1646" t="n">
        <v>0.05853</v>
      </c>
      <c r="S1646">
        <f>IMAGE("https://mitra.stanford.edu/kundaje/oak/projects/neuro-variants/variant_position/credible/roussos_2024/variant_figures/roussos_2024.infant.GLU/rs62056910_count_position.png",4,220,900)</f>
        <v/>
      </c>
      <c r="T1646">
        <f>IMAGE("https://mitra.stanford.edu/kundaje/oak/projects/neuro-variants/variant_position/credible/roussos_2024/variant_figures/roussos_2024.infant.GLU/rs62056910_profile_position.png",4,220,900)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-0.0189639814</v>
      </c>
      <c r="G1647" t="n">
        <v>0.4731925421920598</v>
      </c>
      <c r="H1647" t="n">
        <v>0.009367774073767101</v>
      </c>
      <c r="I1647" t="n">
        <v>0.8016695368044597</v>
      </c>
      <c r="J1647" t="n">
        <v>0.0244571088427874</v>
      </c>
      <c r="K1647" t="n">
        <v>0.5021491259236142</v>
      </c>
      <c r="L1647" t="b">
        <v>0</v>
      </c>
      <c r="M1647" t="b">
        <v>0</v>
      </c>
      <c r="N1647" t="inlineStr">
        <is>
          <t>ref</t>
        </is>
      </c>
      <c r="O1647" t="n">
        <v>90</v>
      </c>
      <c r="P1647" t="n">
        <v>0.0896</v>
      </c>
      <c r="Q1647" t="n">
        <v>80</v>
      </c>
      <c r="R1647" t="n">
        <v>0.10754</v>
      </c>
      <c r="S1647">
        <f>IMAGE("https://mitra.stanford.edu/kundaje/oak/projects/neuro-variants/variant_position/credible/roussos_2024/variant_figures/roussos_2024.infant.GLU/rs62056912_count_position.png",4,220,900)</f>
        <v/>
      </c>
      <c r="T1647">
        <f>IMAGE("https://mitra.stanford.edu/kundaje/oak/projects/neuro-variants/variant_position/credible/roussos_2024/variant_figures/roussos_2024.infant.GLU/rs62056912_profile_position.png",4,220,900)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0.0353594934</v>
      </c>
      <c r="G1648" t="n">
        <v>0.2643949639393842</v>
      </c>
      <c r="H1648" t="n">
        <v>0.0115316042295232</v>
      </c>
      <c r="I1648" t="n">
        <v>0.5876820167981694</v>
      </c>
      <c r="J1648" t="n">
        <v>0.039213827465332</v>
      </c>
      <c r="K1648" t="n">
        <v>0.4014534304105432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0.05164</v>
      </c>
      <c r="Q1648" t="n">
        <v>-90</v>
      </c>
      <c r="R1648" t="n">
        <v>0.1335</v>
      </c>
      <c r="S1648">
        <f>IMAGE("https://mitra.stanford.edu/kundaje/oak/projects/neuro-variants/variant_position/credible/roussos_2024/variant_figures/roussos_2024.infant.GLU/rs61667602_count_position.png",4,220,900)</f>
        <v/>
      </c>
      <c r="T1648">
        <f>IMAGE("https://mitra.stanford.edu/kundaje/oak/projects/neuro-variants/variant_position/credible/roussos_2024/variant_figures/roussos_2024.infant.GLU/rs61667602_profile_position.png",4,220,900)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0.0189240507</v>
      </c>
      <c r="G1649" t="n">
        <v>0.4350031498913487</v>
      </c>
      <c r="H1649" t="n">
        <v>0.0108930491822434</v>
      </c>
      <c r="I1649" t="n">
        <v>0.6570229439663753</v>
      </c>
      <c r="J1649" t="n">
        <v>0.1638065213077889</v>
      </c>
      <c r="K1649" t="n">
        <v>0.1388693381520025</v>
      </c>
      <c r="L1649" t="b">
        <v>0</v>
      </c>
      <c r="M1649" t="b">
        <v>0</v>
      </c>
      <c r="N1649" t="inlineStr">
        <is>
          <t>alt</t>
        </is>
      </c>
      <c r="O1649" t="n">
        <v>100</v>
      </c>
      <c r="P1649" t="n">
        <v>0.04532</v>
      </c>
      <c r="Q1649" t="n">
        <v>80</v>
      </c>
      <c r="R1649" t="n">
        <v>0.2109</v>
      </c>
      <c r="S1649">
        <f>IMAGE("https://mitra.stanford.edu/kundaje/oak/projects/neuro-variants/variant_position/credible/roussos_2024/variant_figures/roussos_2024.infant.GLU/rs62056916_count_position.png",4,220,900)</f>
        <v/>
      </c>
      <c r="T1649">
        <f>IMAGE("https://mitra.stanford.edu/kundaje/oak/projects/neuro-variants/variant_position/credible/roussos_2024/variant_figures/roussos_2024.infant.GLU/rs62056916_profile_position.png",4,220,900)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0.0014767551279999</v>
      </c>
      <c r="G1650" t="n">
        <v>0.647383297942582</v>
      </c>
      <c r="H1650" t="n">
        <v>0.0116174053393908</v>
      </c>
      <c r="I1650" t="n">
        <v>0.5893939176843491</v>
      </c>
      <c r="J1650" t="n">
        <v>0.1625994841156109</v>
      </c>
      <c r="K1650" t="n">
        <v>0.1388143602344567</v>
      </c>
      <c r="L1650" t="b">
        <v>0</v>
      </c>
      <c r="M1650" t="b">
        <v>0</v>
      </c>
      <c r="N1650" t="inlineStr">
        <is>
          <t>alt</t>
        </is>
      </c>
      <c r="O1650" t="n">
        <v>25</v>
      </c>
      <c r="P1650" t="n">
        <v>0.02869</v>
      </c>
      <c r="Q1650" t="n">
        <v>5</v>
      </c>
      <c r="R1650" t="n">
        <v>0.05566</v>
      </c>
      <c r="S1650">
        <f>IMAGE("https://mitra.stanford.edu/kundaje/oak/projects/neuro-variants/variant_position/credible/roussos_2024/variant_figures/roussos_2024.infant.GLU/rs62056917_count_position.png",4,220,900)</f>
        <v/>
      </c>
      <c r="T1650">
        <f>IMAGE("https://mitra.stanford.edu/kundaje/oak/projects/neuro-variants/variant_position/credible/roussos_2024/variant_figures/roussos_2024.infant.GLU/rs62056917_profile_position.png",4,220,900)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0.0948128023999999</v>
      </c>
      <c r="G1651" t="n">
        <v>0.0552813426987356</v>
      </c>
      <c r="H1651" t="n">
        <v>0.0154092614885626</v>
      </c>
      <c r="I1651" t="n">
        <v>0.3462745615426805</v>
      </c>
      <c r="J1651" t="n">
        <v>0.0300888467558808</v>
      </c>
      <c r="K1651" t="n">
        <v>0.4609705241629671</v>
      </c>
      <c r="L1651" t="b">
        <v>0</v>
      </c>
      <c r="M1651" t="b">
        <v>0</v>
      </c>
      <c r="N1651" t="inlineStr">
        <is>
          <t>alt</t>
        </is>
      </c>
      <c r="O1651" t="n">
        <v>-5</v>
      </c>
      <c r="P1651" t="n">
        <v>0.0007477</v>
      </c>
      <c r="Q1651" t="n">
        <v>65</v>
      </c>
      <c r="R1651" t="n">
        <v>0.03687</v>
      </c>
      <c r="S1651">
        <f>IMAGE("https://mitra.stanford.edu/kundaje/oak/projects/neuro-variants/variant_position/credible/roussos_2024/variant_figures/roussos_2024.infant.GLU/rs17762535_count_position.png",4,220,900)</f>
        <v/>
      </c>
      <c r="T1651">
        <f>IMAGE("https://mitra.stanford.edu/kundaje/oak/projects/neuro-variants/variant_position/credible/roussos_2024/variant_figures/roussos_2024.infant.GLU/rs17762535_profile_position.png",4,220,900)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-0.09243179539999991</v>
      </c>
      <c r="G1652" t="n">
        <v>0.0603839767974909</v>
      </c>
      <c r="H1652" t="n">
        <v>0.0180365862546439</v>
      </c>
      <c r="I1652" t="n">
        <v>0.2420999051658823</v>
      </c>
      <c r="J1652" t="n">
        <v>0.0215238431182344</v>
      </c>
      <c r="K1652" t="n">
        <v>0.5265193060948747</v>
      </c>
      <c r="L1652" t="b">
        <v>0</v>
      </c>
      <c r="M1652" t="b">
        <v>0</v>
      </c>
      <c r="N1652" t="inlineStr">
        <is>
          <t>ref</t>
        </is>
      </c>
      <c r="O1652" t="n">
        <v>50</v>
      </c>
      <c r="P1652" t="n">
        <v>0.0008087</v>
      </c>
      <c r="Q1652" t="n">
        <v>-30</v>
      </c>
      <c r="R1652" t="n">
        <v>0.001831</v>
      </c>
      <c r="S1652">
        <f>IMAGE("https://mitra.stanford.edu/kundaje/oak/projects/neuro-variants/variant_position/credible/roussos_2024/variant_figures/roussos_2024.infant.GLU/rs62056920_count_position.png",4,220,900)</f>
        <v/>
      </c>
      <c r="T1652">
        <f>IMAGE("https://mitra.stanford.edu/kundaje/oak/projects/neuro-variants/variant_position/credible/roussos_2024/variant_figures/roussos_2024.infant.GLU/rs62056920_profile_position.png",4,220,900)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0.0453443563999999</v>
      </c>
      <c r="G1653" t="n">
        <v>0.1881985424872073</v>
      </c>
      <c r="H1653" t="n">
        <v>0.0738330009210437</v>
      </c>
      <c r="I1653" t="n">
        <v>0.0010157626375475</v>
      </c>
      <c r="J1653" t="n">
        <v>0.0238409136003879</v>
      </c>
      <c r="K1653" t="n">
        <v>0.5041150801450115</v>
      </c>
      <c r="L1653" t="b">
        <v>1</v>
      </c>
      <c r="M1653" t="b">
        <v>0</v>
      </c>
      <c r="N1653" t="inlineStr">
        <is>
          <t>alt</t>
        </is>
      </c>
      <c r="O1653" t="n">
        <v>-95</v>
      </c>
      <c r="P1653" t="n">
        <v>0.01953</v>
      </c>
      <c r="Q1653" t="n">
        <v>20</v>
      </c>
      <c r="R1653" t="n">
        <v>0.0235</v>
      </c>
      <c r="S1653">
        <f>IMAGE("https://mitra.stanford.edu/kundaje/oak/projects/neuro-variants/variant_position/credible/roussos_2024/variant_figures/roussos_2024.infant.GLU/rs55973918_count_position.png",4,220,900)</f>
        <v/>
      </c>
      <c r="T1653">
        <f>IMAGE("https://mitra.stanford.edu/kundaje/oak/projects/neuro-variants/variant_position/credible/roussos_2024/variant_figures/roussos_2024.infant.GLU/rs55973918_profile_position.png",4,220,900)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-0.018702823394</v>
      </c>
      <c r="G1654" t="n">
        <v>0.4490394808440104</v>
      </c>
      <c r="H1654" t="n">
        <v>0.0122939177483931</v>
      </c>
      <c r="I1654" t="n">
        <v>0.5371941156889347</v>
      </c>
      <c r="J1654" t="n">
        <v>0.0649882052073458</v>
      </c>
      <c r="K1654" t="n">
        <v>0.2922430153900377</v>
      </c>
      <c r="L1654" t="b">
        <v>0</v>
      </c>
      <c r="M1654" t="b">
        <v>0</v>
      </c>
      <c r="N1654" t="inlineStr">
        <is>
          <t>ref</t>
        </is>
      </c>
      <c r="O1654" t="n">
        <v>70</v>
      </c>
      <c r="P1654" t="n">
        <v>0.0006523</v>
      </c>
      <c r="Q1654" t="n">
        <v>100</v>
      </c>
      <c r="R1654" t="n">
        <v>0.11194</v>
      </c>
      <c r="S1654">
        <f>IMAGE("https://mitra.stanford.edu/kundaje/oak/projects/neuro-variants/variant_position/credible/roussos_2024/variant_figures/roussos_2024.infant.GLU/rs7502937_count_position.png",4,220,900)</f>
        <v/>
      </c>
      <c r="T1654">
        <f>IMAGE("https://mitra.stanford.edu/kundaje/oak/projects/neuro-variants/variant_position/credible/roussos_2024/variant_figures/roussos_2024.infant.GLU/rs7502937_profile_position.png",4,220,900)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-0.07098499259999989</v>
      </c>
      <c r="G1655" t="n">
        <v>0.107663271162941</v>
      </c>
      <c r="H1655" t="n">
        <v>0.0133427647469883</v>
      </c>
      <c r="I1655" t="n">
        <v>0.4603832317158483</v>
      </c>
      <c r="J1655" t="n">
        <v>0.1047311448665093</v>
      </c>
      <c r="K1655" t="n">
        <v>0.1982996471620962</v>
      </c>
      <c r="L1655" t="b">
        <v>0</v>
      </c>
      <c r="M1655" t="b">
        <v>0</v>
      </c>
      <c r="N1655" t="inlineStr">
        <is>
          <t>ref</t>
        </is>
      </c>
      <c r="O1655" t="n">
        <v>60</v>
      </c>
      <c r="P1655" t="n">
        <v>0.02747</v>
      </c>
      <c r="Q1655" t="n">
        <v>90</v>
      </c>
      <c r="R1655" t="n">
        <v>0.02954</v>
      </c>
      <c r="S1655">
        <f>IMAGE("https://mitra.stanford.edu/kundaje/oak/projects/neuro-variants/variant_position/credible/roussos_2024/variant_figures/roussos_2024.infant.GLU/rs75310534_count_position.png",4,220,900)</f>
        <v/>
      </c>
      <c r="T1655">
        <f>IMAGE("https://mitra.stanford.edu/kundaje/oak/projects/neuro-variants/variant_position/credible/roussos_2024/variant_figures/roussos_2024.infant.GLU/rs75310534_profile_position.png",4,220,900)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0.0836252238</v>
      </c>
      <c r="G1656" t="n">
        <v>0.087118494919024</v>
      </c>
      <c r="H1656" t="n">
        <v>0.0353420572571011</v>
      </c>
      <c r="I1656" t="n">
        <v>0.0330745950033444</v>
      </c>
      <c r="J1656" t="n">
        <v>0.0051015234021913</v>
      </c>
      <c r="K1656" t="n">
        <v>0.7620577911128187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0.11993</v>
      </c>
      <c r="Q1656" t="n">
        <v>70</v>
      </c>
      <c r="R1656" t="n">
        <v>0.0886</v>
      </c>
      <c r="S1656">
        <f>IMAGE("https://mitra.stanford.edu/kundaje/oak/projects/neuro-variants/variant_position/credible/roussos_2024/variant_figures/roussos_2024.infant.GLU/rs111415173_count_position.png",4,220,900)</f>
        <v/>
      </c>
      <c r="T1656">
        <f>IMAGE("https://mitra.stanford.edu/kundaje/oak/projects/neuro-variants/variant_position/credible/roussos_2024/variant_figures/roussos_2024.infant.GLU/rs111415173_profile_position.png",4,220,900)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-0.0828840324</v>
      </c>
      <c r="G1657" t="n">
        <v>0.09094939183219169</v>
      </c>
      <c r="H1657" t="n">
        <v>0.0155570761743309</v>
      </c>
      <c r="I1657" t="n">
        <v>0.3400021671383759</v>
      </c>
      <c r="J1657" t="n">
        <v>0.0043111620626556</v>
      </c>
      <c r="K1657" t="n">
        <v>0.7713878011170487</v>
      </c>
      <c r="L1657" t="b">
        <v>0</v>
      </c>
      <c r="M1657" t="b">
        <v>0</v>
      </c>
      <c r="N1657" t="inlineStr">
        <is>
          <t>ref</t>
        </is>
      </c>
      <c r="O1657" t="n">
        <v>-30</v>
      </c>
      <c r="P1657" t="n">
        <v>0.0152</v>
      </c>
      <c r="Q1657" t="n">
        <v>-35</v>
      </c>
      <c r="R1657" t="n">
        <v>0.02802</v>
      </c>
      <c r="S1657">
        <f>IMAGE("https://mitra.stanford.edu/kundaje/oak/projects/neuro-variants/variant_position/credible/roussos_2024/variant_figures/roussos_2024.infant.GLU/rs113991678_count_position.png",4,220,900)</f>
        <v/>
      </c>
      <c r="T1657">
        <f>IMAGE("https://mitra.stanford.edu/kundaje/oak/projects/neuro-variants/variant_position/credible/roussos_2024/variant_figures/roussos_2024.infant.GLU/rs113991678_profile_position.png",4,220,900)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0.232674696</v>
      </c>
      <c r="G1658" t="n">
        <v>0.0065103316037598</v>
      </c>
      <c r="H1658" t="n">
        <v>0.06678092992324811</v>
      </c>
      <c r="I1658" t="n">
        <v>0.0018649856066505</v>
      </c>
      <c r="J1658" t="n">
        <v>0.0347825128419938</v>
      </c>
      <c r="K1658" t="n">
        <v>0.4242651949178924</v>
      </c>
      <c r="L1658" t="b">
        <v>1</v>
      </c>
      <c r="M1658" t="b">
        <v>1</v>
      </c>
      <c r="N1658" t="inlineStr">
        <is>
          <t>alt</t>
        </is>
      </c>
      <c r="O1658" t="n">
        <v>85</v>
      </c>
      <c r="P1658" t="n">
        <v>0.004063</v>
      </c>
      <c r="Q1658" t="n">
        <v>-95</v>
      </c>
      <c r="R1658" t="n">
        <v>0.01617</v>
      </c>
      <c r="S1658">
        <f>IMAGE("https://mitra.stanford.edu/kundaje/oak/projects/neuro-variants/variant_position/credible/roussos_2024/variant_figures/roussos_2024.infant.GLU/rs55838058_count_position.png",4,220,900)</f>
        <v/>
      </c>
      <c r="T1658">
        <f>IMAGE("https://mitra.stanford.edu/kundaje/oak/projects/neuro-variants/variant_position/credible/roussos_2024/variant_figures/roussos_2024.infant.GLU/rs55838058_profile_position.png",4,220,900)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0.0447012454</v>
      </c>
      <c r="G1659" t="n">
        <v>0.1939784973990837</v>
      </c>
      <c r="H1659" t="n">
        <v>0.0313949075658475</v>
      </c>
      <c r="I1659" t="n">
        <v>0.0493603119386512</v>
      </c>
      <c r="J1659" t="n">
        <v>0.0986000573204876</v>
      </c>
      <c r="K1659" t="n">
        <v>0.2229106729312914</v>
      </c>
      <c r="L1659" t="b">
        <v>0</v>
      </c>
      <c r="M1659" t="b">
        <v>0</v>
      </c>
      <c r="N1659" t="inlineStr">
        <is>
          <t>alt</t>
        </is>
      </c>
      <c r="O1659" t="n">
        <v>-85</v>
      </c>
      <c r="P1659" t="n">
        <v>0.001916</v>
      </c>
      <c r="Q1659" t="n">
        <v>100</v>
      </c>
      <c r="R1659" t="n">
        <v>0.1438</v>
      </c>
      <c r="S1659">
        <f>IMAGE("https://mitra.stanford.edu/kundaje/oak/projects/neuro-variants/variant_position/credible/roussos_2024/variant_figures/roussos_2024.infant.GLU/rs62054378_count_position.png",4,220,900)</f>
        <v/>
      </c>
      <c r="T1659">
        <f>IMAGE("https://mitra.stanford.edu/kundaje/oak/projects/neuro-variants/variant_position/credible/roussos_2024/variant_figures/roussos_2024.infant.GLU/rs62054378_profile_position.png",4,220,900)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0.0136391834931999</v>
      </c>
      <c r="G1660" t="n">
        <v>0.568543073325682</v>
      </c>
      <c r="H1660" t="n">
        <v>0.0110215071465689</v>
      </c>
      <c r="I1660" t="n">
        <v>0.6461737402890174</v>
      </c>
      <c r="J1660" t="n">
        <v>0.06800634934632591</v>
      </c>
      <c r="K1660" t="n">
        <v>0.2920538299432777</v>
      </c>
      <c r="L1660" t="b">
        <v>0</v>
      </c>
      <c r="M1660" t="b">
        <v>0</v>
      </c>
      <c r="N1660" t="inlineStr">
        <is>
          <t>alt</t>
        </is>
      </c>
      <c r="O1660" t="n">
        <v>85</v>
      </c>
      <c r="P1660" t="n">
        <v>0.05444</v>
      </c>
      <c r="Q1660" t="n">
        <v>40</v>
      </c>
      <c r="R1660" t="n">
        <v>0.09607</v>
      </c>
      <c r="S1660">
        <f>IMAGE("https://mitra.stanford.edu/kundaje/oak/projects/neuro-variants/variant_position/credible/roussos_2024/variant_figures/roussos_2024.infant.GLU/rs77819001_count_position.png",4,220,900)</f>
        <v/>
      </c>
      <c r="T1660">
        <f>IMAGE("https://mitra.stanford.edu/kundaje/oak/projects/neuro-variants/variant_position/credible/roussos_2024/variant_figures/roussos_2024.infant.GLU/rs77819001_profile_position.png",4,220,900)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-0.07342418119999999</v>
      </c>
      <c r="G1661" t="n">
        <v>0.1047829888199416</v>
      </c>
      <c r="H1661" t="n">
        <v>0.019984637480652</v>
      </c>
      <c r="I1661" t="n">
        <v>0.1958653931177351</v>
      </c>
      <c r="J1661" t="n">
        <v>0.0646519985008487</v>
      </c>
      <c r="K1661" t="n">
        <v>0.3028591191056278</v>
      </c>
      <c r="L1661" t="b">
        <v>0</v>
      </c>
      <c r="M1661" t="b">
        <v>0</v>
      </c>
      <c r="N1661" t="inlineStr">
        <is>
          <t>ref</t>
        </is>
      </c>
      <c r="O1661" t="n">
        <v>80</v>
      </c>
      <c r="P1661" t="n">
        <v>0.05026</v>
      </c>
      <c r="Q1661" t="n">
        <v>35</v>
      </c>
      <c r="R1661" t="n">
        <v>0.0718</v>
      </c>
      <c r="S1661">
        <f>IMAGE("https://mitra.stanford.edu/kundaje/oak/projects/neuro-variants/variant_position/credible/roussos_2024/variant_figures/roussos_2024.infant.GLU/rs76667867_count_position.png",4,220,900)</f>
        <v/>
      </c>
      <c r="T1661">
        <f>IMAGE("https://mitra.stanford.edu/kundaje/oak/projects/neuro-variants/variant_position/credible/roussos_2024/variant_figures/roussos_2024.infant.GLU/rs76667867_profile_position.png",4,220,900)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-0.237192086</v>
      </c>
      <c r="G1662" t="n">
        <v>0.0066917797861902</v>
      </c>
      <c r="H1662" t="n">
        <v>0.0331280083359229</v>
      </c>
      <c r="I1662" t="n">
        <v>0.0420048626909861</v>
      </c>
      <c r="J1662" t="n">
        <v>0.0538162216980091</v>
      </c>
      <c r="K1662" t="n">
        <v>0.3306993731195251</v>
      </c>
      <c r="L1662" t="b">
        <v>1</v>
      </c>
      <c r="M1662" t="b">
        <v>1</v>
      </c>
      <c r="N1662" t="inlineStr">
        <is>
          <t>ref</t>
        </is>
      </c>
      <c r="O1662" t="n">
        <v>95</v>
      </c>
      <c r="P1662" t="n">
        <v>0.0177</v>
      </c>
      <c r="Q1662" t="n">
        <v>90</v>
      </c>
      <c r="R1662" t="n">
        <v>0.1436</v>
      </c>
      <c r="S1662">
        <f>IMAGE("https://mitra.stanford.edu/kundaje/oak/projects/neuro-variants/variant_position/credible/roussos_2024/variant_figures/roussos_2024.infant.GLU/rs62054381_count_position.png",4,220,900)</f>
        <v/>
      </c>
      <c r="T1662">
        <f>IMAGE("https://mitra.stanford.edu/kundaje/oak/projects/neuro-variants/variant_position/credible/roussos_2024/variant_figures/roussos_2024.infant.GLU/rs62054381_profile_position.png",4,220,900)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0.183056374</v>
      </c>
      <c r="G1663" t="n">
        <v>0.013947435166841</v>
      </c>
      <c r="H1663" t="n">
        <v>0.0258906897215293</v>
      </c>
      <c r="I1663" t="n">
        <v>0.0949507148790376</v>
      </c>
      <c r="J1663" t="n">
        <v>0.0329504618708524</v>
      </c>
      <c r="K1663" t="n">
        <v>0.4311981244819132</v>
      </c>
      <c r="L1663" t="b">
        <v>1</v>
      </c>
      <c r="M1663" t="b">
        <v>0</v>
      </c>
      <c r="N1663" t="inlineStr">
        <is>
          <t>alt</t>
        </is>
      </c>
      <c r="O1663" t="n">
        <v>-35</v>
      </c>
      <c r="P1663" t="n">
        <v>0.00473</v>
      </c>
      <c r="Q1663" t="n">
        <v>60</v>
      </c>
      <c r="R1663" t="n">
        <v>0.091</v>
      </c>
      <c r="S1663">
        <f>IMAGE("https://mitra.stanford.edu/kundaje/oak/projects/neuro-variants/variant_position/credible/roussos_2024/variant_figures/roussos_2024.infant.GLU/rs62054383_count_position.png",4,220,900)</f>
        <v/>
      </c>
      <c r="T1663">
        <f>IMAGE("https://mitra.stanford.edu/kundaje/oak/projects/neuro-variants/variant_position/credible/roussos_2024/variant_figures/roussos_2024.infant.GLU/rs62054383_profile_position.png",4,220,900)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-0.081589675</v>
      </c>
      <c r="G1664" t="n">
        <v>0.0732377024473201</v>
      </c>
      <c r="H1664" t="n">
        <v>0.0146816817921314</v>
      </c>
      <c r="I1664" t="n">
        <v>0.3786217853609501</v>
      </c>
      <c r="J1664" t="n">
        <v>0.0540366851121056</v>
      </c>
      <c r="K1664" t="n">
        <v>0.3295711846643174</v>
      </c>
      <c r="L1664" t="b">
        <v>0</v>
      </c>
      <c r="M1664" t="b">
        <v>0</v>
      </c>
      <c r="N1664" t="inlineStr">
        <is>
          <t>ref</t>
        </is>
      </c>
      <c r="O1664" t="n">
        <v>15</v>
      </c>
      <c r="P1664" t="n">
        <v>0.001022</v>
      </c>
      <c r="Q1664" t="n">
        <v>100</v>
      </c>
      <c r="R1664" t="n">
        <v>0.11145</v>
      </c>
      <c r="S1664">
        <f>IMAGE("https://mitra.stanford.edu/kundaje/oak/projects/neuro-variants/variant_position/credible/roussos_2024/variant_figures/roussos_2024.infant.GLU/rs56380663_count_position.png",4,220,900)</f>
        <v/>
      </c>
      <c r="T1664">
        <f>IMAGE("https://mitra.stanford.edu/kundaje/oak/projects/neuro-variants/variant_position/credible/roussos_2024/variant_figures/roussos_2024.infant.GLU/rs56380663_profile_position.png",4,220,900)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-0.030524137</v>
      </c>
      <c r="G1665" t="n">
        <v>0.3183027522055576</v>
      </c>
      <c r="H1665" t="n">
        <v>0.0124758159312928</v>
      </c>
      <c r="I1665" t="n">
        <v>0.5252514195608247</v>
      </c>
      <c r="J1665" t="n">
        <v>0.0466346259838179</v>
      </c>
      <c r="K1665" t="n">
        <v>0.3630577770895619</v>
      </c>
      <c r="L1665" t="b">
        <v>0</v>
      </c>
      <c r="M1665" t="b">
        <v>0</v>
      </c>
      <c r="N1665" t="inlineStr">
        <is>
          <t>ref</t>
        </is>
      </c>
      <c r="O1665" t="n">
        <v>-100</v>
      </c>
      <c r="P1665" t="n">
        <v>0.0484</v>
      </c>
      <c r="Q1665" t="n">
        <v>-100</v>
      </c>
      <c r="R1665" t="n">
        <v>0.207</v>
      </c>
      <c r="S1665">
        <f>IMAGE("https://mitra.stanford.edu/kundaje/oak/projects/neuro-variants/variant_position/credible/roussos_2024/variant_figures/roussos_2024.infant.GLU/rs62054388_count_position.png",4,220,900)</f>
        <v/>
      </c>
      <c r="T1665">
        <f>IMAGE("https://mitra.stanford.edu/kundaje/oak/projects/neuro-variants/variant_position/credible/roussos_2024/variant_figures/roussos_2024.infant.GLU/rs62054388_profile_position.png",4,220,900)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-0.0245911604999999</v>
      </c>
      <c r="G1666" t="n">
        <v>0.3729699678997652</v>
      </c>
      <c r="H1666" t="n">
        <v>0.0093820010290538</v>
      </c>
      <c r="I1666" t="n">
        <v>0.7926812645831476</v>
      </c>
      <c r="J1666" t="n">
        <v>0.0211512599484115</v>
      </c>
      <c r="K1666" t="n">
        <v>0.5574374505281308</v>
      </c>
      <c r="L1666" t="b">
        <v>0</v>
      </c>
      <c r="M1666" t="b">
        <v>0</v>
      </c>
      <c r="N1666" t="inlineStr">
        <is>
          <t>ref</t>
        </is>
      </c>
      <c r="O1666" t="n">
        <v>-100</v>
      </c>
      <c r="P1666" t="n">
        <v>0.009650000000000001</v>
      </c>
      <c r="Q1666" t="n">
        <v>-85</v>
      </c>
      <c r="R1666" t="n">
        <v>0.0579</v>
      </c>
      <c r="S1666">
        <f>IMAGE("https://mitra.stanford.edu/kundaje/oak/projects/neuro-variants/variant_position/credible/roussos_2024/variant_figures/roussos_2024.infant.GLU/rs4401083_count_position.png",4,220,900)</f>
        <v/>
      </c>
      <c r="T1666">
        <f>IMAGE("https://mitra.stanford.edu/kundaje/oak/projects/neuro-variants/variant_position/credible/roussos_2024/variant_figures/roussos_2024.infant.GLU/rs4401083_profile_position.png",4,220,900)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-0.0435375456</v>
      </c>
      <c r="G1667" t="n">
        <v>0.2161686236007082</v>
      </c>
      <c r="H1667" t="n">
        <v>0.011017774340987</v>
      </c>
      <c r="I1667" t="n">
        <v>0.6305048017910205</v>
      </c>
      <c r="J1667" t="n">
        <v>0.0437796247712691</v>
      </c>
      <c r="K1667" t="n">
        <v>0.3984099125049456</v>
      </c>
      <c r="L1667" t="b">
        <v>0</v>
      </c>
      <c r="M1667" t="b">
        <v>0</v>
      </c>
      <c r="N1667" t="inlineStr">
        <is>
          <t>ref</t>
        </is>
      </c>
      <c r="O1667" t="n">
        <v>35</v>
      </c>
      <c r="P1667" t="n">
        <v>0.004215</v>
      </c>
      <c r="Q1667" t="n">
        <v>85</v>
      </c>
      <c r="R1667" t="n">
        <v>0.05185</v>
      </c>
      <c r="S1667">
        <f>IMAGE("https://mitra.stanford.edu/kundaje/oak/projects/neuro-variants/variant_position/credible/roussos_2024/variant_figures/roussos_2024.infant.GLU/rs1880752_count_position.png",4,220,900)</f>
        <v/>
      </c>
      <c r="T1667">
        <f>IMAGE("https://mitra.stanford.edu/kundaje/oak/projects/neuro-variants/variant_position/credible/roussos_2024/variant_figures/roussos_2024.infant.GLU/rs1880752_profile_position.png",4,220,900)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-0.3535804939999999</v>
      </c>
      <c r="G1668" t="n">
        <v>0.0017098034509902</v>
      </c>
      <c r="H1668" t="n">
        <v>0.07649343175008951</v>
      </c>
      <c r="I1668" t="n">
        <v>0.0009452374195901</v>
      </c>
      <c r="J1668" t="n">
        <v>0.3808086598029057</v>
      </c>
      <c r="K1668" t="n">
        <v>0.0496216061280312</v>
      </c>
      <c r="L1668" t="b">
        <v>1</v>
      </c>
      <c r="M1668" t="b">
        <v>1</v>
      </c>
      <c r="N1668" t="inlineStr">
        <is>
          <t>ref</t>
        </is>
      </c>
      <c r="O1668" t="n">
        <v>-80</v>
      </c>
      <c r="P1668" t="n">
        <v>0.01062</v>
      </c>
      <c r="Q1668" t="n">
        <v>-80</v>
      </c>
      <c r="R1668" t="n">
        <v>0.1816</v>
      </c>
      <c r="S1668">
        <f>IMAGE("https://mitra.stanford.edu/kundaje/oak/projects/neuro-variants/variant_position/credible/roussos_2024/variant_figures/roussos_2024.infant.GLU/rs2864087_count_position.png",4,220,900)</f>
        <v/>
      </c>
      <c r="T1668">
        <f>IMAGE("https://mitra.stanford.edu/kundaje/oak/projects/neuro-variants/variant_position/credible/roussos_2024/variant_figures/roussos_2024.infant.GLU/rs2864087_profile_position.png",4,220,900)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-0.347472876</v>
      </c>
      <c r="G1669" t="n">
        <v>0.0017773903162035</v>
      </c>
      <c r="H1669" t="n">
        <v>0.0637440336670575</v>
      </c>
      <c r="I1669" t="n">
        <v>0.0025281627210002</v>
      </c>
      <c r="J1669" t="n">
        <v>0.3778566546881544</v>
      </c>
      <c r="K1669" t="n">
        <v>0.0499701272554734</v>
      </c>
      <c r="L1669" t="b">
        <v>1</v>
      </c>
      <c r="M1669" t="b">
        <v>1</v>
      </c>
      <c r="N1669" t="inlineStr">
        <is>
          <t>ref</t>
        </is>
      </c>
      <c r="O1669" t="n">
        <v>45</v>
      </c>
      <c r="P1669" t="n">
        <v>0.002243</v>
      </c>
      <c r="Q1669" t="n">
        <v>-100</v>
      </c>
      <c r="R1669" t="n">
        <v>0.0503</v>
      </c>
      <c r="S1669">
        <f>IMAGE("https://mitra.stanford.edu/kundaje/oak/projects/neuro-variants/variant_position/credible/roussos_2024/variant_figures/roussos_2024.infant.GLU/rs4609899_count_position.png",4,220,900)</f>
        <v/>
      </c>
      <c r="T1669">
        <f>IMAGE("https://mitra.stanford.edu/kundaje/oak/projects/neuro-variants/variant_position/credible/roussos_2024/variant_figures/roussos_2024.infant.GLU/rs4609899_profile_position.png",4,220,900)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-0.007136597612</v>
      </c>
      <c r="G1670" t="n">
        <v>0.7000268799379606</v>
      </c>
      <c r="H1670" t="n">
        <v>0.0114226591619581</v>
      </c>
      <c r="I1670" t="n">
        <v>0.6095562961190055</v>
      </c>
      <c r="J1670" t="n">
        <v>0.0027469741396415</v>
      </c>
      <c r="K1670" t="n">
        <v>0.8218613678252062</v>
      </c>
      <c r="L1670" t="b">
        <v>0</v>
      </c>
      <c r="M1670" t="b">
        <v>0</v>
      </c>
      <c r="N1670" t="inlineStr">
        <is>
          <t>ref</t>
        </is>
      </c>
      <c r="O1670" t="n">
        <v>50</v>
      </c>
      <c r="P1670" t="n">
        <v>0.003136</v>
      </c>
      <c r="Q1670" t="n">
        <v>-35</v>
      </c>
      <c r="R1670" t="n">
        <v>0.010925</v>
      </c>
      <c r="S1670">
        <f>IMAGE("https://mitra.stanford.edu/kundaje/oak/projects/neuro-variants/variant_position/credible/roussos_2024/variant_figures/roussos_2024.infant.GLU/rs62054393_count_position.png",4,220,900)</f>
        <v/>
      </c>
      <c r="T1670">
        <f>IMAGE("https://mitra.stanford.edu/kundaje/oak/projects/neuro-variants/variant_position/credible/roussos_2024/variant_figures/roussos_2024.infant.GLU/rs62054393_profile_position.png",4,220,900)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0.0240033242</v>
      </c>
      <c r="G1671" t="n">
        <v>0.310301853639963</v>
      </c>
      <c r="H1671" t="n">
        <v>0.0164875752835918</v>
      </c>
      <c r="I1671" t="n">
        <v>0.2941835102139911</v>
      </c>
      <c r="J1671" t="n">
        <v>0.0273903745673405</v>
      </c>
      <c r="K1671" t="n">
        <v>0.4748817618283989</v>
      </c>
      <c r="L1671" t="b">
        <v>0</v>
      </c>
      <c r="M1671" t="b">
        <v>0</v>
      </c>
      <c r="N1671" t="inlineStr">
        <is>
          <t>alt</t>
        </is>
      </c>
      <c r="O1671" t="n">
        <v>65</v>
      </c>
      <c r="P1671" t="n">
        <v>0.2498</v>
      </c>
      <c r="Q1671" t="n">
        <v>100</v>
      </c>
      <c r="R1671" t="n">
        <v>0.06619999999999999</v>
      </c>
      <c r="S1671">
        <f>IMAGE("https://mitra.stanford.edu/kundaje/oak/projects/neuro-variants/variant_position/credible/roussos_2024/variant_figures/roussos_2024.infant.GLU/rs113790915_count_position.png",4,220,900)</f>
        <v/>
      </c>
      <c r="T1671">
        <f>IMAGE("https://mitra.stanford.edu/kundaje/oak/projects/neuro-variants/variant_position/credible/roussos_2024/variant_figures/roussos_2024.infant.GLU/rs113790915_profile_position.png",4,220,900)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0.1529681768</v>
      </c>
      <c r="G1672" t="n">
        <v>0.0203171432493731</v>
      </c>
      <c r="H1672" t="n">
        <v>0.0279919653088277</v>
      </c>
      <c r="I1672" t="n">
        <v>0.0729972192382287</v>
      </c>
      <c r="J1672" t="n">
        <v>0.0400361559999117</v>
      </c>
      <c r="K1672" t="n">
        <v>0.3914873275015752</v>
      </c>
      <c r="L1672" t="b">
        <v>0</v>
      </c>
      <c r="M1672" t="b">
        <v>0</v>
      </c>
      <c r="N1672" t="inlineStr">
        <is>
          <t>alt</t>
        </is>
      </c>
      <c r="O1672" t="n">
        <v>-15</v>
      </c>
      <c r="P1672" t="n">
        <v>0.008545000000000001</v>
      </c>
      <c r="Q1672" t="n">
        <v>15</v>
      </c>
      <c r="R1672" t="n">
        <v>0.01624</v>
      </c>
      <c r="S1672">
        <f>IMAGE("https://mitra.stanford.edu/kundaje/oak/projects/neuro-variants/variant_position/credible/roussos_2024/variant_figures/roussos_2024.infant.GLU/rs75022332_count_position.png",4,220,900)</f>
        <v/>
      </c>
      <c r="T1672">
        <f>IMAGE("https://mitra.stanford.edu/kundaje/oak/projects/neuro-variants/variant_position/credible/roussos_2024/variant_figures/roussos_2024.infant.GLU/rs75022332_profile_position.png",4,220,900)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-0.0471249261999999</v>
      </c>
      <c r="G1673" t="n">
        <v>0.1865465346673757</v>
      </c>
      <c r="H1673" t="n">
        <v>0.0180265497552842</v>
      </c>
      <c r="I1673" t="n">
        <v>0.2372013474053554</v>
      </c>
      <c r="J1673" t="n">
        <v>0.0233592010405872</v>
      </c>
      <c r="K1673" t="n">
        <v>0.508732511350369</v>
      </c>
      <c r="L1673" t="b">
        <v>0</v>
      </c>
      <c r="M1673" t="b">
        <v>0</v>
      </c>
      <c r="N1673" t="inlineStr">
        <is>
          <t>ref</t>
        </is>
      </c>
      <c r="O1673" t="n">
        <v>20</v>
      </c>
      <c r="P1673" t="n">
        <v>0.001953</v>
      </c>
      <c r="Q1673" t="n">
        <v>-5</v>
      </c>
      <c r="R1673" t="n">
        <v>0.01306</v>
      </c>
      <c r="S1673">
        <f>IMAGE("https://mitra.stanford.edu/kundaje/oak/projects/neuro-variants/variant_position/credible/roussos_2024/variant_figures/roussos_2024.infant.GLU/rs77804065_count_position.png",4,220,900)</f>
        <v/>
      </c>
      <c r="T1673">
        <f>IMAGE("https://mitra.stanford.edu/kundaje/oak/projects/neuro-variants/variant_position/credible/roussos_2024/variant_figures/roussos_2024.infant.GLU/rs77804065_profile_position.png",4,220,900)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0.00430407998</v>
      </c>
      <c r="G1674" t="n">
        <v>0.5207910609331411</v>
      </c>
      <c r="H1674" t="n">
        <v>0.0131597734650195</v>
      </c>
      <c r="I1674" t="n">
        <v>0.4712394489006665</v>
      </c>
      <c r="J1674" t="n">
        <v>0.00406975462422</v>
      </c>
      <c r="K1674" t="n">
        <v>0.7969369293798633</v>
      </c>
      <c r="L1674" t="b">
        <v>0</v>
      </c>
      <c r="M1674" t="b">
        <v>0</v>
      </c>
      <c r="N1674" t="inlineStr">
        <is>
          <t>alt</t>
        </is>
      </c>
      <c r="O1674" t="n">
        <v>90</v>
      </c>
      <c r="P1674" t="n">
        <v>0.07684000000000001</v>
      </c>
      <c r="Q1674" t="n">
        <v>-25</v>
      </c>
      <c r="R1674" t="n">
        <v>0.02333</v>
      </c>
      <c r="S1674">
        <f>IMAGE("https://mitra.stanford.edu/kundaje/oak/projects/neuro-variants/variant_position/credible/roussos_2024/variant_figures/roussos_2024.infant.GLU/rs62054398_count_position.png",4,220,900)</f>
        <v/>
      </c>
      <c r="T1674">
        <f>IMAGE("https://mitra.stanford.edu/kundaje/oak/projects/neuro-variants/variant_position/credible/roussos_2024/variant_figures/roussos_2024.infant.GLU/rs62054398_profile_position.png",4,220,900)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-0.0361846556</v>
      </c>
      <c r="G1675" t="n">
        <v>0.26086608653807</v>
      </c>
      <c r="H1675" t="n">
        <v>0.0098478057979668</v>
      </c>
      <c r="I1675" t="n">
        <v>0.7446707268706634</v>
      </c>
      <c r="J1675" t="n">
        <v>0.0034711964549482</v>
      </c>
      <c r="K1675" t="n">
        <v>0.8158210365034388</v>
      </c>
      <c r="L1675" t="b">
        <v>0</v>
      </c>
      <c r="M1675" t="b">
        <v>0</v>
      </c>
      <c r="N1675" t="inlineStr">
        <is>
          <t>ref</t>
        </is>
      </c>
      <c r="O1675" t="n">
        <v>70</v>
      </c>
      <c r="P1675" t="n">
        <v>0.03287</v>
      </c>
      <c r="Q1675" t="n">
        <v>15</v>
      </c>
      <c r="R1675" t="n">
        <v>0.0163</v>
      </c>
      <c r="S1675">
        <f>IMAGE("https://mitra.stanford.edu/kundaje/oak/projects/neuro-variants/variant_position/credible/roussos_2024/variant_figures/roussos_2024.infant.GLU/rs62054399_count_position.png",4,220,900)</f>
        <v/>
      </c>
      <c r="T1675">
        <f>IMAGE("https://mitra.stanford.edu/kundaje/oak/projects/neuro-variants/variant_position/credible/roussos_2024/variant_figures/roussos_2024.infant.GLU/rs62054399_profile_position.png",4,220,900)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0.00807606152</v>
      </c>
      <c r="G1676" t="n">
        <v>0.6573723729912501</v>
      </c>
      <c r="H1676" t="n">
        <v>0.0071308348734657</v>
      </c>
      <c r="I1676" t="n">
        <v>0.954982824844554</v>
      </c>
      <c r="J1676" t="n">
        <v>0.3235058092109614</v>
      </c>
      <c r="K1676" t="n">
        <v>0.0618239753952172</v>
      </c>
      <c r="L1676" t="b">
        <v>0</v>
      </c>
      <c r="M1676" t="b">
        <v>0</v>
      </c>
      <c r="N1676" t="inlineStr">
        <is>
          <t>alt</t>
        </is>
      </c>
      <c r="O1676" t="n">
        <v>10</v>
      </c>
      <c r="P1676" t="n">
        <v>0.002838</v>
      </c>
      <c r="Q1676" t="n">
        <v>100</v>
      </c>
      <c r="R1676" t="n">
        <v>0.07153</v>
      </c>
      <c r="S1676">
        <f>IMAGE("https://mitra.stanford.edu/kundaje/oak/projects/neuro-variants/variant_position/credible/roussos_2024/variant_figures/roussos_2024.infant.GLU/rs56298110_count_position.png",4,220,900)</f>
        <v/>
      </c>
      <c r="T1676">
        <f>IMAGE("https://mitra.stanford.edu/kundaje/oak/projects/neuro-variants/variant_position/credible/roussos_2024/variant_figures/roussos_2024.infant.GLU/rs56298110_profile_position.png",4,220,900)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-0.0179004888</v>
      </c>
      <c r="G1677" t="n">
        <v>0.4969978693797562</v>
      </c>
      <c r="H1677" t="n">
        <v>0.0255202436203235</v>
      </c>
      <c r="I1677" t="n">
        <v>0.09528695837249559</v>
      </c>
      <c r="J1677" t="n">
        <v>0.0572256883970104</v>
      </c>
      <c r="K1677" t="n">
        <v>0.3186234988260317</v>
      </c>
      <c r="L1677" t="b">
        <v>0</v>
      </c>
      <c r="M1677" t="b">
        <v>0</v>
      </c>
      <c r="N1677" t="inlineStr">
        <is>
          <t>ref</t>
        </is>
      </c>
      <c r="O1677" t="n">
        <v>90</v>
      </c>
      <c r="P1677" t="n">
        <v>0.008030000000000001</v>
      </c>
      <c r="Q1677" t="n">
        <v>95</v>
      </c>
      <c r="R1677" t="n">
        <v>0.1387</v>
      </c>
      <c r="S1677">
        <f>IMAGE("https://mitra.stanford.edu/kundaje/oak/projects/neuro-variants/variant_position/credible/roussos_2024/variant_figures/roussos_2024.infant.GLU/rs62054419_count_position.png",4,220,900)</f>
        <v/>
      </c>
      <c r="T1677">
        <f>IMAGE("https://mitra.stanford.edu/kundaje/oak/projects/neuro-variants/variant_position/credible/roussos_2024/variant_figures/roussos_2024.infant.GLU/rs62054419_profile_position.png",4,220,900)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0.1108727519999999</v>
      </c>
      <c r="G1678" t="n">
        <v>0.041139955582101</v>
      </c>
      <c r="H1678" t="n">
        <v>0.0346151520837012</v>
      </c>
      <c r="I1678" t="n">
        <v>0.0351649923925636</v>
      </c>
      <c r="J1678" t="n">
        <v>0.7439593024537579</v>
      </c>
      <c r="K1678" t="n">
        <v>0.0111586592864209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0.037</v>
      </c>
      <c r="Q1678" t="n">
        <v>-100</v>
      </c>
      <c r="R1678" t="n">
        <v>0.4258</v>
      </c>
      <c r="S1678">
        <f>IMAGE("https://mitra.stanford.edu/kundaje/oak/projects/neuro-variants/variant_position/credible/roussos_2024/variant_figures/roussos_2024.infant.GLU/rs17563827_count_position.png",4,220,900)</f>
        <v/>
      </c>
      <c r="T1678">
        <f>IMAGE("https://mitra.stanford.edu/kundaje/oak/projects/neuro-variants/variant_position/credible/roussos_2024/variant_figures/roussos_2024.infant.GLU/rs17563827_profile_position.png",4,220,900)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-0.054810516</v>
      </c>
      <c r="G1679" t="n">
        <v>0.1496424351900424</v>
      </c>
      <c r="H1679" t="n">
        <v>0.0124135413729185</v>
      </c>
      <c r="I1679" t="n">
        <v>0.5177563951423646</v>
      </c>
      <c r="J1679" t="n">
        <v>0.3129643510659406</v>
      </c>
      <c r="K1679" t="n">
        <v>0.0640451947903266</v>
      </c>
      <c r="L1679" t="b">
        <v>0</v>
      </c>
      <c r="M1679" t="b">
        <v>0</v>
      </c>
      <c r="N1679" t="inlineStr">
        <is>
          <t>ref</t>
        </is>
      </c>
      <c r="O1679" t="n">
        <v>-100</v>
      </c>
      <c r="P1679" t="n">
        <v>0.0376</v>
      </c>
      <c r="Q1679" t="n">
        <v>-100</v>
      </c>
      <c r="R1679" t="n">
        <v>0.4272</v>
      </c>
      <c r="S1679">
        <f>IMAGE("https://mitra.stanford.edu/kundaje/oak/projects/neuro-variants/variant_position/credible/roussos_2024/variant_figures/roussos_2024.infant.GLU/rs62054424_count_position.png",4,220,900)</f>
        <v/>
      </c>
      <c r="T1679">
        <f>IMAGE("https://mitra.stanford.edu/kundaje/oak/projects/neuro-variants/variant_position/credible/roussos_2024/variant_figures/roussos_2024.infant.GLU/rs62054424_profile_position.png",4,220,900)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0.051433667</v>
      </c>
      <c r="G1680" t="n">
        <v>0.1728212616737303</v>
      </c>
      <c r="H1680" t="n">
        <v>0.0130350170500232</v>
      </c>
      <c r="I1680" t="n">
        <v>0.4825668033658867</v>
      </c>
      <c r="J1680" t="n">
        <v>0.0798397230979518</v>
      </c>
      <c r="K1680" t="n">
        <v>0.2849289972140029</v>
      </c>
      <c r="L1680" t="b">
        <v>0</v>
      </c>
      <c r="M1680" t="b">
        <v>0</v>
      </c>
      <c r="N1680" t="inlineStr">
        <is>
          <t>alt</t>
        </is>
      </c>
      <c r="O1680" t="n">
        <v>65</v>
      </c>
      <c r="P1680" t="n">
        <v>0.04834</v>
      </c>
      <c r="Q1680" t="n">
        <v>20</v>
      </c>
      <c r="R1680" t="n">
        <v>0.03076</v>
      </c>
      <c r="S1680">
        <f>IMAGE("https://mitra.stanford.edu/kundaje/oak/projects/neuro-variants/variant_position/credible/roussos_2024/variant_figures/roussos_2024.infant.GLU/rs62054426_count_position.png",4,220,900)</f>
        <v/>
      </c>
      <c r="T1680">
        <f>IMAGE("https://mitra.stanford.edu/kundaje/oak/projects/neuro-variants/variant_position/credible/roussos_2024/variant_figures/roussos_2024.infant.GLU/rs62054426_profile_position.png",4,220,900)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0.057732885</v>
      </c>
      <c r="G1681" t="n">
        <v>0.1313213907548699</v>
      </c>
      <c r="H1681" t="n">
        <v>0.036934710906988</v>
      </c>
      <c r="I1681" t="n">
        <v>0.0278243474114979</v>
      </c>
      <c r="J1681" t="n">
        <v>0.0074704027866575</v>
      </c>
      <c r="K1681" t="n">
        <v>0.7079326612815403</v>
      </c>
      <c r="L1681" t="b">
        <v>0</v>
      </c>
      <c r="M1681" t="b">
        <v>0</v>
      </c>
      <c r="N1681" t="inlineStr">
        <is>
          <t>alt</t>
        </is>
      </c>
      <c r="O1681" t="n">
        <v>70</v>
      </c>
      <c r="P1681" t="n">
        <v>0.0832</v>
      </c>
      <c r="Q1681" t="n">
        <v>20</v>
      </c>
      <c r="R1681" t="n">
        <v>0.02466</v>
      </c>
      <c r="S1681">
        <f>IMAGE("https://mitra.stanford.edu/kundaje/oak/projects/neuro-variants/variant_position/credible/roussos_2024/variant_figures/roussos_2024.infant.GLU/rs74464991_count_position.png",4,220,900)</f>
        <v/>
      </c>
      <c r="T1681">
        <f>IMAGE("https://mitra.stanford.edu/kundaje/oak/projects/neuro-variants/variant_position/credible/roussos_2024/variant_figures/roussos_2024.infant.GLU/rs74464991_profile_position.png",4,220,900)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0.09278249</v>
      </c>
      <c r="G1682" t="n">
        <v>0.0593413971546633</v>
      </c>
      <c r="H1682" t="n">
        <v>0.021206628214173</v>
      </c>
      <c r="I1682" t="n">
        <v>0.1599705884112389</v>
      </c>
      <c r="J1682" t="n">
        <v>0.0125234242377476</v>
      </c>
      <c r="K1682" t="n">
        <v>0.6367820313762604</v>
      </c>
      <c r="L1682" t="b">
        <v>0</v>
      </c>
      <c r="M1682" t="b">
        <v>0</v>
      </c>
      <c r="N1682" t="inlineStr">
        <is>
          <t>alt</t>
        </is>
      </c>
      <c r="O1682" t="n">
        <v>-25</v>
      </c>
      <c r="P1682" t="n">
        <v>0.002258</v>
      </c>
      <c r="Q1682" t="n">
        <v>95</v>
      </c>
      <c r="R1682" t="n">
        <v>0.0969</v>
      </c>
      <c r="S1682">
        <f>IMAGE("https://mitra.stanford.edu/kundaje/oak/projects/neuro-variants/variant_position/credible/roussos_2024/variant_figures/roussos_2024.infant.GLU/rs2004260_count_position.png",4,220,900)</f>
        <v/>
      </c>
      <c r="T1682">
        <f>IMAGE("https://mitra.stanford.edu/kundaje/oak/projects/neuro-variants/variant_position/credible/roussos_2024/variant_figures/roussos_2024.infant.GLU/rs2004260_profile_position.png",4,220,900)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-0.063698507</v>
      </c>
      <c r="G1683" t="n">
        <v>0.1492653931824381</v>
      </c>
      <c r="H1683" t="n">
        <v>0.0207133627469128</v>
      </c>
      <c r="I1683" t="n">
        <v>0.1678772081669279</v>
      </c>
      <c r="J1683" t="n">
        <v>0.5396856191714985</v>
      </c>
      <c r="K1683" t="n">
        <v>0.0264459770644068</v>
      </c>
      <c r="L1683" t="b">
        <v>0</v>
      </c>
      <c r="M1683" t="b">
        <v>0</v>
      </c>
      <c r="N1683" t="inlineStr">
        <is>
          <t>ref</t>
        </is>
      </c>
      <c r="O1683" t="n">
        <v>-30</v>
      </c>
      <c r="P1683" t="n">
        <v>0.01044</v>
      </c>
      <c r="Q1683" t="n">
        <v>-30</v>
      </c>
      <c r="R1683" t="n">
        <v>0.10156</v>
      </c>
      <c r="S1683">
        <f>IMAGE("https://mitra.stanford.edu/kundaje/oak/projects/neuro-variants/variant_position/credible/roussos_2024/variant_figures/roussos_2024.infant.GLU/rs75715199_count_position.png",4,220,900)</f>
        <v/>
      </c>
      <c r="T1683">
        <f>IMAGE("https://mitra.stanford.edu/kundaje/oak/projects/neuro-variants/variant_position/credible/roussos_2024/variant_figures/roussos_2024.infant.GLU/rs75715199_profile_position.png",4,220,900)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0.0018240629</v>
      </c>
      <c r="G1684" t="n">
        <v>0.7996932807197202</v>
      </c>
      <c r="H1684" t="n">
        <v>0.0172890274268424</v>
      </c>
      <c r="I1684" t="n">
        <v>0.2648715359608597</v>
      </c>
      <c r="J1684" t="n">
        <v>0.4404969245353733</v>
      </c>
      <c r="K1684" t="n">
        <v>0.0383514520126928</v>
      </c>
      <c r="L1684" t="b">
        <v>0</v>
      </c>
      <c r="M1684" t="b">
        <v>0</v>
      </c>
      <c r="N1684" t="inlineStr">
        <is>
          <t>alt</t>
        </is>
      </c>
      <c r="O1684" t="n">
        <v>-100</v>
      </c>
      <c r="P1684" t="n">
        <v>0.07049999999999999</v>
      </c>
      <c r="Q1684" t="n">
        <v>-100</v>
      </c>
      <c r="R1684" t="n">
        <v>0.5600000000000001</v>
      </c>
      <c r="S1684">
        <f>IMAGE("https://mitra.stanford.edu/kundaje/oak/projects/neuro-variants/variant_position/credible/roussos_2024/variant_figures/roussos_2024.infant.GLU/rs62054439_count_position.png",4,220,900)</f>
        <v/>
      </c>
      <c r="T1684">
        <f>IMAGE("https://mitra.stanford.edu/kundaje/oak/projects/neuro-variants/variant_position/credible/roussos_2024/variant_figures/roussos_2024.infant.GLU/rs62054439_profile_position.png",4,220,900)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0.0816304684</v>
      </c>
      <c r="G1685" t="n">
        <v>0.0723597165926748</v>
      </c>
      <c r="H1685" t="n">
        <v>0.0180622793694542</v>
      </c>
      <c r="I1685" t="n">
        <v>0.2376092290058216</v>
      </c>
      <c r="J1685" t="n">
        <v>0.0685861681253995</v>
      </c>
      <c r="K1685" t="n">
        <v>0.2804047160560305</v>
      </c>
      <c r="L1685" t="b">
        <v>0</v>
      </c>
      <c r="M1685" t="b">
        <v>0</v>
      </c>
      <c r="N1685" t="inlineStr">
        <is>
          <t>alt</t>
        </is>
      </c>
      <c r="O1685" t="n">
        <v>95</v>
      </c>
      <c r="P1685" t="n">
        <v>0.006058</v>
      </c>
      <c r="Q1685" t="n">
        <v>-45</v>
      </c>
      <c r="R1685" t="n">
        <v>0.00812</v>
      </c>
      <c r="S1685">
        <f>IMAGE("https://mitra.stanford.edu/kundaje/oak/projects/neuro-variants/variant_position/credible/roussos_2024/variant_figures/roussos_2024.infant.GLU/rs12150363_count_position.png",4,220,900)</f>
        <v/>
      </c>
      <c r="T1685">
        <f>IMAGE("https://mitra.stanford.edu/kundaje/oak/projects/neuro-variants/variant_position/credible/roussos_2024/variant_figures/roussos_2024.infant.GLU/rs12150363_profile_position.png",4,220,900)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0.0260511792</v>
      </c>
      <c r="G1686" t="n">
        <v>0.3561599633950605</v>
      </c>
      <c r="H1686" t="n">
        <v>0.0141663810802426</v>
      </c>
      <c r="I1686" t="n">
        <v>0.4147451794077343</v>
      </c>
      <c r="J1686" t="n">
        <v>0.1638869904539341</v>
      </c>
      <c r="K1686" t="n">
        <v>0.1339015581047597</v>
      </c>
      <c r="L1686" t="b">
        <v>0</v>
      </c>
      <c r="M1686" t="b">
        <v>0</v>
      </c>
      <c r="N1686" t="inlineStr">
        <is>
          <t>alt</t>
        </is>
      </c>
      <c r="O1686" t="n">
        <v>20</v>
      </c>
      <c r="P1686" t="n">
        <v>0.0006933</v>
      </c>
      <c r="Q1686" t="n">
        <v>-100</v>
      </c>
      <c r="R1686" t="n">
        <v>0.10254</v>
      </c>
      <c r="S1686">
        <f>IMAGE("https://mitra.stanford.edu/kundaje/oak/projects/neuro-variants/variant_position/credible/roussos_2024/variant_figures/roussos_2024.infant.GLU/rs62054440_count_position.png",4,220,900)</f>
        <v/>
      </c>
      <c r="T1686">
        <f>IMAGE("https://mitra.stanford.edu/kundaje/oak/projects/neuro-variants/variant_position/credible/roussos_2024/variant_figures/roussos_2024.infant.GLU/rs62054440_profile_position.png",4,220,900)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0.030225628</v>
      </c>
      <c r="G1687" t="n">
        <v>0.3095265243887232</v>
      </c>
      <c r="H1687" t="n">
        <v>0.0107389773417929</v>
      </c>
      <c r="I1687" t="n">
        <v>0.6486875669110741</v>
      </c>
      <c r="J1687" t="n">
        <v>0.1521847924336956</v>
      </c>
      <c r="K1687" t="n">
        <v>0.1478445935021842</v>
      </c>
      <c r="L1687" t="b">
        <v>0</v>
      </c>
      <c r="M1687" t="b">
        <v>0</v>
      </c>
      <c r="N1687" t="inlineStr">
        <is>
          <t>alt</t>
        </is>
      </c>
      <c r="O1687" t="n">
        <v>90</v>
      </c>
      <c r="P1687" t="n">
        <v>0.00724</v>
      </c>
      <c r="Q1687" t="n">
        <v>-30</v>
      </c>
      <c r="R1687" t="n">
        <v>0.0249</v>
      </c>
      <c r="S1687">
        <f>IMAGE("https://mitra.stanford.edu/kundaje/oak/projects/neuro-variants/variant_position/credible/roussos_2024/variant_figures/roussos_2024.infant.GLU/rs12150604_count_position.png",4,220,900)</f>
        <v/>
      </c>
      <c r="T1687">
        <f>IMAGE("https://mitra.stanford.edu/kundaje/oak/projects/neuro-variants/variant_position/credible/roussos_2024/variant_figures/roussos_2024.infant.GLU/rs12150604_profile_position.png",4,220,900)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-0.0953803216</v>
      </c>
      <c r="G1688" t="n">
        <v>0.0560146493753729</v>
      </c>
      <c r="H1688" t="n">
        <v>0.0154753636974885</v>
      </c>
      <c r="I1688" t="n">
        <v>0.33892771146617</v>
      </c>
      <c r="J1688" t="n">
        <v>0.2185542009303556</v>
      </c>
      <c r="K1688" t="n">
        <v>0.1020537221924935</v>
      </c>
      <c r="L1688" t="b">
        <v>0</v>
      </c>
      <c r="M1688" t="b">
        <v>0</v>
      </c>
      <c r="N1688" t="inlineStr">
        <is>
          <t>ref</t>
        </is>
      </c>
      <c r="O1688" t="n">
        <v>90</v>
      </c>
      <c r="P1688" t="n">
        <v>0.00299</v>
      </c>
      <c r="Q1688" t="n">
        <v>-5</v>
      </c>
      <c r="R1688" t="n">
        <v>0.006104</v>
      </c>
      <c r="S1688">
        <f>IMAGE("https://mitra.stanford.edu/kundaje/oak/projects/neuro-variants/variant_position/credible/roussos_2024/variant_figures/roussos_2024.infant.GLU/rs17426064_count_position.png",4,220,900)</f>
        <v/>
      </c>
      <c r="T1688">
        <f>IMAGE("https://mitra.stanford.edu/kundaje/oak/projects/neuro-variants/variant_position/credible/roussos_2024/variant_figures/roussos_2024.infant.GLU/rs17426064_profile_position.png",4,220,900)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0.0349124814</v>
      </c>
      <c r="G1689" t="n">
        <v>0.265813482916986</v>
      </c>
      <c r="H1689" t="n">
        <v>0.0127188551939174</v>
      </c>
      <c r="I1689" t="n">
        <v>0.5054648694826416</v>
      </c>
      <c r="J1689" t="n">
        <v>0.1963160563504485</v>
      </c>
      <c r="K1689" t="n">
        <v>0.1152585466887906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0.0818</v>
      </c>
      <c r="Q1689" t="n">
        <v>-100</v>
      </c>
      <c r="R1689" t="n">
        <v>0.1351</v>
      </c>
      <c r="S1689">
        <f>IMAGE("https://mitra.stanford.edu/kundaje/oak/projects/neuro-variants/variant_position/credible/roussos_2024/variant_figures/roussos_2024.infant.GLU/rs62054442_count_position.png",4,220,900)</f>
        <v/>
      </c>
      <c r="T1689">
        <f>IMAGE("https://mitra.stanford.edu/kundaje/oak/projects/neuro-variants/variant_position/credible/roussos_2024/variant_figures/roussos_2024.infant.GLU/rs62054442_profile_position.png",4,220,900)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0.0508423415999999</v>
      </c>
      <c r="G1690" t="n">
        <v>0.1585324926482913</v>
      </c>
      <c r="H1690" t="n">
        <v>0.0120901011473029</v>
      </c>
      <c r="I1690" t="n">
        <v>0.5511628477364283</v>
      </c>
      <c r="J1690" t="n">
        <v>0.0573039529090147</v>
      </c>
      <c r="K1690" t="n">
        <v>0.3147743737196413</v>
      </c>
      <c r="L1690" t="b">
        <v>0</v>
      </c>
      <c r="M1690" t="b">
        <v>0</v>
      </c>
      <c r="N1690" t="inlineStr">
        <is>
          <t>alt</t>
        </is>
      </c>
      <c r="O1690" t="n">
        <v>-100</v>
      </c>
      <c r="P1690" t="n">
        <v>0.10223</v>
      </c>
      <c r="Q1690" t="n">
        <v>-10</v>
      </c>
      <c r="R1690" t="n">
        <v>0.02429</v>
      </c>
      <c r="S1690">
        <f>IMAGE("https://mitra.stanford.edu/kundaje/oak/projects/neuro-variants/variant_position/credible/roussos_2024/variant_figures/roussos_2024.infant.GLU/rs35631660_count_position.png",4,220,900)</f>
        <v/>
      </c>
      <c r="T1690">
        <f>IMAGE("https://mitra.stanford.edu/kundaje/oak/projects/neuro-variants/variant_position/credible/roussos_2024/variant_figures/roussos_2024.infant.GLU/rs35631660_profile_position.png",4,220,900)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0.0888759012</v>
      </c>
      <c r="G1691" t="n">
        <v>0.0618167394027169</v>
      </c>
      <c r="H1691" t="n">
        <v>0.0150184828879659</v>
      </c>
      <c r="I1691" t="n">
        <v>0.3578538829209077</v>
      </c>
      <c r="J1691" t="n">
        <v>0.1419850525805242</v>
      </c>
      <c r="K1691" t="n">
        <v>0.1563690637773559</v>
      </c>
      <c r="L1691" t="b">
        <v>0</v>
      </c>
      <c r="M1691" t="b">
        <v>0</v>
      </c>
      <c r="N1691" t="inlineStr">
        <is>
          <t>alt</t>
        </is>
      </c>
      <c r="O1691" t="n">
        <v>35</v>
      </c>
      <c r="P1691" t="n">
        <v>0.009259999999999999</v>
      </c>
      <c r="Q1691" t="n">
        <v>35</v>
      </c>
      <c r="R1691" t="n">
        <v>0.1245</v>
      </c>
      <c r="S1691">
        <f>IMAGE("https://mitra.stanford.edu/kundaje/oak/projects/neuro-variants/variant_position/credible/roussos_2024/variant_figures/roussos_2024.infant.GLU/rs62055876_count_position.png",4,220,900)</f>
        <v/>
      </c>
      <c r="T1691">
        <f>IMAGE("https://mitra.stanford.edu/kundaje/oak/projects/neuro-variants/variant_position/credible/roussos_2024/variant_figures/roussos_2024.infant.GLU/rs62055876_profile_position.png",4,220,900)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0.14283545</v>
      </c>
      <c r="G1692" t="n">
        <v>0.0274546874464363</v>
      </c>
      <c r="H1692" t="n">
        <v>0.0210925047824219</v>
      </c>
      <c r="I1692" t="n">
        <v>0.1729227017332479</v>
      </c>
      <c r="J1692" t="n">
        <v>0.2398013624638991</v>
      </c>
      <c r="K1692" t="n">
        <v>0.0891797511669534</v>
      </c>
      <c r="L1692" t="b">
        <v>0</v>
      </c>
      <c r="M1692" t="b">
        <v>0</v>
      </c>
      <c r="N1692" t="inlineStr">
        <is>
          <t>alt</t>
        </is>
      </c>
      <c r="O1692" t="n">
        <v>90</v>
      </c>
      <c r="P1692" t="n">
        <v>0.003914</v>
      </c>
      <c r="Q1692" t="n">
        <v>100</v>
      </c>
      <c r="R1692" t="n">
        <v>0.1824</v>
      </c>
      <c r="S1692">
        <f>IMAGE("https://mitra.stanford.edu/kundaje/oak/projects/neuro-variants/variant_position/credible/roussos_2024/variant_figures/roussos_2024.infant.GLU/rs34579278_count_position.png",4,220,900)</f>
        <v/>
      </c>
      <c r="T1692">
        <f>IMAGE("https://mitra.stanford.edu/kundaje/oak/projects/neuro-variants/variant_position/credible/roussos_2024/variant_figures/roussos_2024.infant.GLU/rs34579278_profile_position.png",4,220,900)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0.1032845836</v>
      </c>
      <c r="G1693" t="n">
        <v>0.048906605376558</v>
      </c>
      <c r="H1693" t="n">
        <v>0.0242506514883856</v>
      </c>
      <c r="I1693" t="n">
        <v>0.1118041671973191</v>
      </c>
      <c r="J1693" t="n">
        <v>0.19295839855376</v>
      </c>
      <c r="K1693" t="n">
        <v>0.1126667267007708</v>
      </c>
      <c r="L1693" t="b">
        <v>0</v>
      </c>
      <c r="M1693" t="b">
        <v>0</v>
      </c>
      <c r="N1693" t="inlineStr">
        <is>
          <t>alt</t>
        </is>
      </c>
      <c r="O1693" t="n">
        <v>85</v>
      </c>
      <c r="P1693" t="n">
        <v>0.01041</v>
      </c>
      <c r="Q1693" t="n">
        <v>55</v>
      </c>
      <c r="R1693" t="n">
        <v>0.1384</v>
      </c>
      <c r="S1693">
        <f>IMAGE("https://mitra.stanford.edu/kundaje/oak/projects/neuro-variants/variant_position/credible/roussos_2024/variant_figures/roussos_2024.infant.GLU/rs34211253_count_position.png",4,220,900)</f>
        <v/>
      </c>
      <c r="T1693">
        <f>IMAGE("https://mitra.stanford.edu/kundaje/oak/projects/neuro-variants/variant_position/credible/roussos_2024/variant_figures/roussos_2024.infant.GLU/rs34211253_profile_position.png",4,220,900)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0.0539180992</v>
      </c>
      <c r="G1694" t="n">
        <v>0.145955798671669</v>
      </c>
      <c r="H1694" t="n">
        <v>0.0116529412924416</v>
      </c>
      <c r="I1694" t="n">
        <v>0.5867976649635116</v>
      </c>
      <c r="J1694" t="n">
        <v>0.0398520690491412</v>
      </c>
      <c r="K1694" t="n">
        <v>0.3911479946462844</v>
      </c>
      <c r="L1694" t="b">
        <v>0</v>
      </c>
      <c r="M1694" t="b">
        <v>0</v>
      </c>
      <c r="N1694" t="inlineStr">
        <is>
          <t>alt</t>
        </is>
      </c>
      <c r="O1694" t="n">
        <v>-10</v>
      </c>
      <c r="P1694" t="n">
        <v>0.002441</v>
      </c>
      <c r="Q1694" t="n">
        <v>95</v>
      </c>
      <c r="R1694" t="n">
        <v>0.09314</v>
      </c>
      <c r="S1694">
        <f>IMAGE("https://mitra.stanford.edu/kundaje/oak/projects/neuro-variants/variant_position/credible/roussos_2024/variant_figures/roussos_2024.infant.GLU/rs11079717_count_position.png",4,220,900)</f>
        <v/>
      </c>
      <c r="T1694">
        <f>IMAGE("https://mitra.stanford.edu/kundaje/oak/projects/neuro-variants/variant_position/credible/roussos_2024/variant_figures/roussos_2024.infant.GLU/rs11079717_profile_position.png",4,220,900)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-0.01567238796</v>
      </c>
      <c r="G1695" t="n">
        <v>0.5283026404639024</v>
      </c>
      <c r="H1695" t="n">
        <v>0.0221677067644903</v>
      </c>
      <c r="I1695" t="n">
        <v>0.139903295985266</v>
      </c>
      <c r="J1695" t="n">
        <v>0.2874115390550937</v>
      </c>
      <c r="K1695" t="n">
        <v>0.0729001464808596</v>
      </c>
      <c r="L1695" t="b">
        <v>0</v>
      </c>
      <c r="M1695" t="b">
        <v>0</v>
      </c>
      <c r="N1695" t="inlineStr">
        <is>
          <t>ref</t>
        </is>
      </c>
      <c r="O1695" t="n">
        <v>-20</v>
      </c>
      <c r="P1695" t="n">
        <v>0.003174</v>
      </c>
      <c r="Q1695" t="n">
        <v>90</v>
      </c>
      <c r="R1695" t="n">
        <v>0.3362</v>
      </c>
      <c r="S1695">
        <f>IMAGE("https://mitra.stanford.edu/kundaje/oak/projects/neuro-variants/variant_position/credible/roussos_2024/variant_figures/roussos_2024.infant.GLU/rs56168907_count_position.png",4,220,900)</f>
        <v/>
      </c>
      <c r="T1695">
        <f>IMAGE("https://mitra.stanford.edu/kundaje/oak/projects/neuro-variants/variant_position/credible/roussos_2024/variant_figures/roussos_2024.infant.GLU/rs56168907_profile_position.png",4,220,900)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-0.266645018</v>
      </c>
      <c r="G1696" t="n">
        <v>0.0046703756286875</v>
      </c>
      <c r="H1696" t="n">
        <v>0.0411038707483892</v>
      </c>
      <c r="I1696" t="n">
        <v>0.018595895754092</v>
      </c>
      <c r="J1696" t="n">
        <v>0.3882338675896735</v>
      </c>
      <c r="K1696" t="n">
        <v>0.0475936188438144</v>
      </c>
      <c r="L1696" t="b">
        <v>1</v>
      </c>
      <c r="M1696" t="b">
        <v>1</v>
      </c>
      <c r="N1696" t="inlineStr">
        <is>
          <t>ref</t>
        </is>
      </c>
      <c r="O1696" t="n">
        <v>-95</v>
      </c>
      <c r="P1696" t="n">
        <v>0.01376</v>
      </c>
      <c r="Q1696" t="n">
        <v>40</v>
      </c>
      <c r="R1696" t="n">
        <v>0.2883</v>
      </c>
      <c r="S1696">
        <f>IMAGE("https://mitra.stanford.edu/kundaje/oak/projects/neuro-variants/variant_position/credible/roussos_2024/variant_figures/roussos_2024.infant.GLU/rs55801356_count_position.png",4,220,900)</f>
        <v/>
      </c>
      <c r="T1696">
        <f>IMAGE("https://mitra.stanford.edu/kundaje/oak/projects/neuro-variants/variant_position/credible/roussos_2024/variant_figures/roussos_2024.infant.GLU/rs55801356_profile_position.png",4,220,900)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-0.119729527</v>
      </c>
      <c r="G1697" t="n">
        <v>0.0361277303441108</v>
      </c>
      <c r="H1697" t="n">
        <v>0.0160898199876142</v>
      </c>
      <c r="I1697" t="n">
        <v>0.3160561368289148</v>
      </c>
      <c r="J1697" t="n">
        <v>0.0714191229965386</v>
      </c>
      <c r="K1697" t="n">
        <v>0.2718702141165338</v>
      </c>
      <c r="L1697" t="b">
        <v>0</v>
      </c>
      <c r="M1697" t="b">
        <v>0</v>
      </c>
      <c r="N1697" t="inlineStr">
        <is>
          <t>ref</t>
        </is>
      </c>
      <c r="O1697" t="n">
        <v>-100</v>
      </c>
      <c r="P1697" t="n">
        <v>0.03784</v>
      </c>
      <c r="Q1697" t="n">
        <v>-5</v>
      </c>
      <c r="R1697" t="n">
        <v>0.004883</v>
      </c>
      <c r="S1697">
        <f>IMAGE("https://mitra.stanford.edu/kundaje/oak/projects/neuro-variants/variant_position/credible/roussos_2024/variant_figures/roussos_2024.infant.GLU/rs62055890_count_position.png",4,220,900)</f>
        <v/>
      </c>
      <c r="T1697">
        <f>IMAGE("https://mitra.stanford.edu/kundaje/oak/projects/neuro-variants/variant_position/credible/roussos_2024/variant_figures/roussos_2024.infant.GLU/rs62055890_profile_position.png",4,220,900)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-0.00227071902</v>
      </c>
      <c r="G1698" t="n">
        <v>0.7475688295561369</v>
      </c>
      <c r="H1698" t="n">
        <v>0.0088512349238229</v>
      </c>
      <c r="I1698" t="n">
        <v>0.834798112430827</v>
      </c>
      <c r="J1698" t="n">
        <v>0.002867126700324</v>
      </c>
      <c r="K1698" t="n">
        <v>0.8166182480780176</v>
      </c>
      <c r="L1698" t="b">
        <v>0</v>
      </c>
      <c r="M1698" t="b">
        <v>0</v>
      </c>
      <c r="N1698" t="inlineStr">
        <is>
          <t>ref</t>
        </is>
      </c>
      <c r="O1698" t="n">
        <v>-95</v>
      </c>
      <c r="P1698" t="n">
        <v>0.1826</v>
      </c>
      <c r="Q1698" t="n">
        <v>35</v>
      </c>
      <c r="R1698" t="n">
        <v>0.04385</v>
      </c>
      <c r="S1698">
        <f>IMAGE("https://mitra.stanford.edu/kundaje/oak/projects/neuro-variants/variant_position/credible/roussos_2024/variant_figures/roussos_2024.infant.GLU/rs56369036_count_position.png",4,220,900)</f>
        <v/>
      </c>
      <c r="T1698">
        <f>IMAGE("https://mitra.stanford.edu/kundaje/oak/projects/neuro-variants/variant_position/credible/roussos_2024/variant_figures/roussos_2024.infant.GLU/rs56369036_profile_position.png",4,220,900)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0.0564580586</v>
      </c>
      <c r="G1699" t="n">
        <v>0.1347450888927642</v>
      </c>
      <c r="H1699" t="n">
        <v>0.0147517812937865</v>
      </c>
      <c r="I1699" t="n">
        <v>0.3729197918189931</v>
      </c>
      <c r="J1699" t="n">
        <v>0.0013327013382129</v>
      </c>
      <c r="K1699" t="n">
        <v>0.8717869343470314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0.04263</v>
      </c>
      <c r="Q1699" t="n">
        <v>-100</v>
      </c>
      <c r="R1699" t="n">
        <v>0.0707</v>
      </c>
      <c r="S1699">
        <f>IMAGE("https://mitra.stanford.edu/kundaje/oak/projects/neuro-variants/variant_position/credible/roussos_2024/variant_figures/roussos_2024.infant.GLU/rs55707339_count_position.png",4,220,900)</f>
        <v/>
      </c>
      <c r="T1699">
        <f>IMAGE("https://mitra.stanford.edu/kundaje/oak/projects/neuro-variants/variant_position/credible/roussos_2024/variant_figures/roussos_2024.infant.GLU/rs55707339_profile_position.png",4,220,900)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0.1051715328</v>
      </c>
      <c r="G1700" t="n">
        <v>0.0528815236435568</v>
      </c>
      <c r="H1700" t="n">
        <v>0.0279505800799255</v>
      </c>
      <c r="I1700" t="n">
        <v>0.0734555460476214</v>
      </c>
      <c r="J1700" t="n">
        <v>0.1804129279746025</v>
      </c>
      <c r="K1700" t="n">
        <v>0.1210455257414013</v>
      </c>
      <c r="L1700" t="b">
        <v>0</v>
      </c>
      <c r="M1700" t="b">
        <v>0</v>
      </c>
      <c r="N1700" t="inlineStr">
        <is>
          <t>alt</t>
        </is>
      </c>
      <c r="O1700" t="n">
        <v>-5</v>
      </c>
      <c r="P1700" t="n">
        <v>0.002655</v>
      </c>
      <c r="Q1700" t="n">
        <v>-20</v>
      </c>
      <c r="R1700" t="n">
        <v>0.005127</v>
      </c>
      <c r="S1700">
        <f>IMAGE("https://mitra.stanford.edu/kundaje/oak/projects/neuro-variants/variant_position/credible/roussos_2024/variant_figures/roussos_2024.infant.GLU/rs62055894_count_position.png",4,220,900)</f>
        <v/>
      </c>
      <c r="T1700">
        <f>IMAGE("https://mitra.stanford.edu/kundaje/oak/projects/neuro-variants/variant_position/credible/roussos_2024/variant_figures/roussos_2024.infant.GLU/rs62055894_profile_position.png",4,220,900)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0.045419988</v>
      </c>
      <c r="G1701" t="n">
        <v>0.1863206963338483</v>
      </c>
      <c r="H1701" t="n">
        <v>0.0110631837328018</v>
      </c>
      <c r="I1701" t="n">
        <v>0.6409285742732822</v>
      </c>
      <c r="J1701" t="n">
        <v>0.1679402103220969</v>
      </c>
      <c r="K1701" t="n">
        <v>0.128531179975674</v>
      </c>
      <c r="L1701" t="b">
        <v>0</v>
      </c>
      <c r="M1701" t="b">
        <v>0</v>
      </c>
      <c r="N1701" t="inlineStr">
        <is>
          <t>alt</t>
        </is>
      </c>
      <c r="O1701" t="n">
        <v>-100</v>
      </c>
      <c r="P1701" t="n">
        <v>0.01704</v>
      </c>
      <c r="Q1701" t="n">
        <v>-100</v>
      </c>
      <c r="R1701" t="n">
        <v>0.1609</v>
      </c>
      <c r="S1701">
        <f>IMAGE("https://mitra.stanford.edu/kundaje/oak/projects/neuro-variants/variant_position/credible/roussos_2024/variant_figures/roussos_2024.infant.GLU/rs62055895_count_position.png",4,220,900)</f>
        <v/>
      </c>
      <c r="T1701">
        <f>IMAGE("https://mitra.stanford.edu/kundaje/oak/projects/neuro-variants/variant_position/credible/roussos_2024/variant_figures/roussos_2024.infant.GLU/rs62055895_profile_position.png",4,220,900)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0.0338204576</v>
      </c>
      <c r="G1702" t="n">
        <v>0.2761648651236356</v>
      </c>
      <c r="H1702" t="n">
        <v>0.0128947988937887</v>
      </c>
      <c r="I1702" t="n">
        <v>0.490534012425651</v>
      </c>
      <c r="J1702" t="n">
        <v>0.1132057585043761</v>
      </c>
      <c r="K1702" t="n">
        <v>0.1879946669701148</v>
      </c>
      <c r="L1702" t="b">
        <v>0</v>
      </c>
      <c r="M1702" t="b">
        <v>0</v>
      </c>
      <c r="N1702" t="inlineStr">
        <is>
          <t>alt</t>
        </is>
      </c>
      <c r="O1702" t="n">
        <v>-100</v>
      </c>
      <c r="P1702" t="n">
        <v>0.09470000000000001</v>
      </c>
      <c r="Q1702" t="n">
        <v>70</v>
      </c>
      <c r="R1702" t="n">
        <v>0.06383999999999999</v>
      </c>
      <c r="S1702">
        <f>IMAGE("https://mitra.stanford.edu/kundaje/oak/projects/neuro-variants/variant_position/credible/roussos_2024/variant_figures/roussos_2024.infant.GLU/rs55657917_count_position.png",4,220,900)</f>
        <v/>
      </c>
      <c r="T1702">
        <f>IMAGE("https://mitra.stanford.edu/kundaje/oak/projects/neuro-variants/variant_position/credible/roussos_2024/variant_figures/roussos_2024.infant.GLU/rs55657917_profile_position.png",4,220,900)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0.00587991496</v>
      </c>
      <c r="G1703" t="n">
        <v>0.754353242047511</v>
      </c>
      <c r="H1703" t="n">
        <v>0.0092364967022693</v>
      </c>
      <c r="I1703" t="n">
        <v>0.8066619020273208</v>
      </c>
      <c r="J1703" t="n">
        <v>0.0541866002336912</v>
      </c>
      <c r="K1703" t="n">
        <v>0.3304456352201332</v>
      </c>
      <c r="L1703" t="b">
        <v>0</v>
      </c>
      <c r="M1703" t="b">
        <v>0</v>
      </c>
      <c r="N1703" t="inlineStr">
        <is>
          <t>alt</t>
        </is>
      </c>
      <c r="O1703" t="n">
        <v>35</v>
      </c>
      <c r="P1703" t="n">
        <v>0.006042</v>
      </c>
      <c r="Q1703" t="n">
        <v>-90</v>
      </c>
      <c r="R1703" t="n">
        <v>0.1903</v>
      </c>
      <c r="S1703">
        <f>IMAGE("https://mitra.stanford.edu/kundaje/oak/projects/neuro-variants/variant_position/credible/roussos_2024/variant_figures/roussos_2024.infant.GLU/rs56109643_count_position.png",4,220,900)</f>
        <v/>
      </c>
      <c r="T1703">
        <f>IMAGE("https://mitra.stanford.edu/kundaje/oak/projects/neuro-variants/variant_position/credible/roussos_2024/variant_figures/roussos_2024.infant.GLU/rs56109643_profile_position.png",4,220,900)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-0.217253098</v>
      </c>
      <c r="G1704" t="n">
        <v>0.0083504738175646</v>
      </c>
      <c r="H1704" t="n">
        <v>0.0528948321472543</v>
      </c>
      <c r="I1704" t="n">
        <v>0.0058170936690407</v>
      </c>
      <c r="J1704" t="n">
        <v>0.3914945214841597</v>
      </c>
      <c r="K1704" t="n">
        <v>0.0466715662107072</v>
      </c>
      <c r="L1704" t="b">
        <v>1</v>
      </c>
      <c r="M1704" t="b">
        <v>1</v>
      </c>
      <c r="N1704" t="inlineStr">
        <is>
          <t>ref</t>
        </is>
      </c>
      <c r="O1704" t="n">
        <v>-30</v>
      </c>
      <c r="P1704" t="n">
        <v>0.002014</v>
      </c>
      <c r="Q1704" t="n">
        <v>40</v>
      </c>
      <c r="R1704" t="n">
        <v>0.0757</v>
      </c>
      <c r="S1704">
        <f>IMAGE("https://mitra.stanford.edu/kundaje/oak/projects/neuro-variants/variant_position/credible/roussos_2024/variant_figures/roussos_2024.infant.GLU/rs62055935_count_position.png",4,220,900)</f>
        <v/>
      </c>
      <c r="T1704">
        <f>IMAGE("https://mitra.stanford.edu/kundaje/oak/projects/neuro-variants/variant_position/credible/roussos_2024/variant_figures/roussos_2024.infant.GLU/rs62055935_profile_position.png",4,220,900)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0.083937024</v>
      </c>
      <c r="G1705" t="n">
        <v>0.0738945313931306</v>
      </c>
      <c r="H1705" t="n">
        <v>0.0132995230090405</v>
      </c>
      <c r="I1705" t="n">
        <v>0.4655511199391716</v>
      </c>
      <c r="J1705" t="n">
        <v>0.2350415573535571</v>
      </c>
      <c r="K1705" t="n">
        <v>0.0921925783590308</v>
      </c>
      <c r="L1705" t="b">
        <v>0</v>
      </c>
      <c r="M1705" t="b">
        <v>0</v>
      </c>
      <c r="N1705" t="inlineStr">
        <is>
          <t>alt</t>
        </is>
      </c>
      <c r="O1705" t="n">
        <v>35</v>
      </c>
      <c r="P1705" t="n">
        <v>0.005234</v>
      </c>
      <c r="Q1705" t="n">
        <v>35</v>
      </c>
      <c r="R1705" t="n">
        <v>0.1401</v>
      </c>
      <c r="S1705">
        <f>IMAGE("https://mitra.stanford.edu/kundaje/oak/projects/neuro-variants/variant_position/credible/roussos_2024/variant_figures/roussos_2024.infant.GLU/rs62055948_count_position.png",4,220,900)</f>
        <v/>
      </c>
      <c r="T1705">
        <f>IMAGE("https://mitra.stanford.edu/kundaje/oak/projects/neuro-variants/variant_position/credible/roussos_2024/variant_figures/roussos_2024.infant.GLU/rs62055948_profile_position.png",4,220,900)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-0.0237840023999999</v>
      </c>
      <c r="G1706" t="n">
        <v>0.4019074378938888</v>
      </c>
      <c r="H1706" t="n">
        <v>0.0148237082920145</v>
      </c>
      <c r="I1706" t="n">
        <v>0.3705201959449302</v>
      </c>
      <c r="J1706" t="n">
        <v>0.2718093432394893</v>
      </c>
      <c r="K1706" t="n">
        <v>0.0795408397071336</v>
      </c>
      <c r="L1706" t="b">
        <v>0</v>
      </c>
      <c r="M1706" t="b">
        <v>0</v>
      </c>
      <c r="N1706" t="inlineStr">
        <is>
          <t>ref</t>
        </is>
      </c>
      <c r="O1706" t="n">
        <v>100</v>
      </c>
      <c r="P1706" t="n">
        <v>0.00835</v>
      </c>
      <c r="Q1706" t="n">
        <v>-100</v>
      </c>
      <c r="R1706" t="n">
        <v>0.09533999999999999</v>
      </c>
      <c r="S1706">
        <f>IMAGE("https://mitra.stanford.edu/kundaje/oak/projects/neuro-variants/variant_position/credible/roussos_2024/variant_figures/roussos_2024.infant.GLU/rs55787105_count_position.png",4,220,900)</f>
        <v/>
      </c>
      <c r="T1706">
        <f>IMAGE("https://mitra.stanford.edu/kundaje/oak/projects/neuro-variants/variant_position/credible/roussos_2024/variant_figures/roussos_2024.infant.GLU/rs55787105_profile_position.png",4,220,900)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-0.001918817694</v>
      </c>
      <c r="G1707" t="n">
        <v>0.5531541178653332</v>
      </c>
      <c r="H1707" t="n">
        <v>0.0159630619043729</v>
      </c>
      <c r="I1707" t="n">
        <v>0.3126446642043535</v>
      </c>
      <c r="J1707" t="n">
        <v>0.2703950704380607</v>
      </c>
      <c r="K1707" t="n">
        <v>0.0801710098935261</v>
      </c>
      <c r="L1707" t="b">
        <v>0</v>
      </c>
      <c r="M1707" t="b">
        <v>0</v>
      </c>
      <c r="N1707" t="inlineStr">
        <is>
          <t>ref</t>
        </is>
      </c>
      <c r="O1707" t="n">
        <v>100</v>
      </c>
      <c r="P1707" t="n">
        <v>0.00545</v>
      </c>
      <c r="Q1707" t="n">
        <v>-100</v>
      </c>
      <c r="R1707" t="n">
        <v>0.0736</v>
      </c>
      <c r="S1707">
        <f>IMAGE("https://mitra.stanford.edu/kundaje/oak/projects/neuro-variants/variant_position/credible/roussos_2024/variant_figures/roussos_2024.infant.GLU/rs62055950_count_position.png",4,220,900)</f>
        <v/>
      </c>
      <c r="T1707">
        <f>IMAGE("https://mitra.stanford.edu/kundaje/oak/projects/neuro-variants/variant_position/credible/roussos_2024/variant_figures/roussos_2024.infant.GLU/rs62055950_profile_position.png",4,220,900)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0.00682013004</v>
      </c>
      <c r="G1708" t="n">
        <v>0.713661874047699</v>
      </c>
      <c r="H1708" t="n">
        <v>0.0323803311600789</v>
      </c>
      <c r="I1708" t="n">
        <v>0.0447801053939401</v>
      </c>
      <c r="J1708" t="n">
        <v>0.0194856588549129</v>
      </c>
      <c r="K1708" t="n">
        <v>0.5397011039317609</v>
      </c>
      <c r="L1708" t="b">
        <v>0</v>
      </c>
      <c r="M1708" t="b">
        <v>0</v>
      </c>
      <c r="N1708" t="inlineStr">
        <is>
          <t>alt</t>
        </is>
      </c>
      <c r="O1708" t="n">
        <v>-90</v>
      </c>
      <c r="P1708" t="n">
        <v>0.1295</v>
      </c>
      <c r="Q1708" t="n">
        <v>-95</v>
      </c>
      <c r="R1708" t="n">
        <v>0.147</v>
      </c>
      <c r="S1708">
        <f>IMAGE("https://mitra.stanford.edu/kundaje/oak/projects/neuro-variants/variant_position/credible/roussos_2024/variant_figures/roussos_2024.infant.GLU/rs62057067_count_position.png",4,220,900)</f>
        <v/>
      </c>
      <c r="T1708">
        <f>IMAGE("https://mitra.stanford.edu/kundaje/oak/projects/neuro-variants/variant_position/credible/roussos_2024/variant_figures/roussos_2024.infant.GLU/rs62057067_profile_position.png",4,220,900)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-0.0637007278</v>
      </c>
      <c r="G1709" t="n">
        <v>0.1233113116445136</v>
      </c>
      <c r="H1709" t="n">
        <v>0.0152473458786277</v>
      </c>
      <c r="I1709" t="n">
        <v>0.3611781450532108</v>
      </c>
      <c r="J1709" t="n">
        <v>0.0988943759783063</v>
      </c>
      <c r="K1709" t="n">
        <v>0.219149241848768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0.010345</v>
      </c>
      <c r="Q1709" t="n">
        <v>40</v>
      </c>
      <c r="R1709" t="n">
        <v>0.0232</v>
      </c>
      <c r="S1709">
        <f>IMAGE("https://mitra.stanford.edu/kundaje/oak/projects/neuro-variants/variant_position/credible/roussos_2024/variant_figures/roussos_2024.infant.GLU/rs117365970_count_position.png",4,220,900)</f>
        <v/>
      </c>
      <c r="T1709">
        <f>IMAGE("https://mitra.stanford.edu/kundaje/oak/projects/neuro-variants/variant_position/credible/roussos_2024/variant_figures/roussos_2024.infant.GLU/rs117365970_profile_position.png",4,220,900)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0.024462763</v>
      </c>
      <c r="G1710" t="n">
        <v>0.1884736285634472</v>
      </c>
      <c r="H1710" t="n">
        <v>0.0160798953923169</v>
      </c>
      <c r="I1710" t="n">
        <v>0.3254877532762679</v>
      </c>
      <c r="J1710" t="n">
        <v>0.108427214003836</v>
      </c>
      <c r="K1710" t="n">
        <v>0.2028980552552682</v>
      </c>
      <c r="L1710" t="b">
        <v>0</v>
      </c>
      <c r="M1710" t="b">
        <v>0</v>
      </c>
      <c r="N1710" t="inlineStr">
        <is>
          <t>alt</t>
        </is>
      </c>
      <c r="O1710" t="n">
        <v>-100</v>
      </c>
      <c r="P1710" t="n">
        <v>0.010345</v>
      </c>
      <c r="Q1710" t="n">
        <v>40</v>
      </c>
      <c r="R1710" t="n">
        <v>0.0232</v>
      </c>
      <c r="S1710">
        <f>IMAGE("https://mitra.stanford.edu/kundaje/oak/projects/neuro-variants/variant_position/credible/roussos_2024/variant_figures/roussos_2024.infant.GLU/rs117646503_count_position.png",4,220,900)</f>
        <v/>
      </c>
      <c r="T1710">
        <f>IMAGE("https://mitra.stanford.edu/kundaje/oak/projects/neuro-variants/variant_position/credible/roussos_2024/variant_figures/roussos_2024.infant.GLU/rs117646503_profile_position.png",4,220,900)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-0.0369532144</v>
      </c>
      <c r="G1711" t="n">
        <v>0.253004046624975</v>
      </c>
      <c r="H1711" t="n">
        <v>0.008850967959781301</v>
      </c>
      <c r="I1711" t="n">
        <v>0.8346211717998588</v>
      </c>
      <c r="J1711" t="n">
        <v>0.1186126237350911</v>
      </c>
      <c r="K1711" t="n">
        <v>0.1891797633155624</v>
      </c>
      <c r="L1711" t="b">
        <v>0</v>
      </c>
      <c r="M1711" t="b">
        <v>0</v>
      </c>
      <c r="N1711" t="inlineStr">
        <is>
          <t>ref</t>
        </is>
      </c>
      <c r="O1711" t="n">
        <v>-90</v>
      </c>
      <c r="P1711" t="n">
        <v>0.01602</v>
      </c>
      <c r="Q1711" t="n">
        <v>-100</v>
      </c>
      <c r="R1711" t="n">
        <v>0.3425</v>
      </c>
      <c r="S1711">
        <f>IMAGE("https://mitra.stanford.edu/kundaje/oak/projects/neuro-variants/variant_position/credible/roussos_2024/variant_figures/roussos_2024.infant.GLU/rs28364023_count_position.png",4,220,900)</f>
        <v/>
      </c>
      <c r="T1711">
        <f>IMAGE("https://mitra.stanford.edu/kundaje/oak/projects/neuro-variants/variant_position/credible/roussos_2024/variant_figures/roussos_2024.infant.GLU/rs28364023_profile_position.png",4,220,900)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0.046929434</v>
      </c>
      <c r="G1712" t="n">
        <v>0.1773526765548804</v>
      </c>
      <c r="H1712" t="n">
        <v>0.0120163559147121</v>
      </c>
      <c r="I1712" t="n">
        <v>0.559091627128023</v>
      </c>
      <c r="J1712" t="n">
        <v>0.0403238607553076</v>
      </c>
      <c r="K1712" t="n">
        <v>0.3951846571314247</v>
      </c>
      <c r="L1712" t="b">
        <v>0</v>
      </c>
      <c r="M1712" t="b">
        <v>0</v>
      </c>
      <c r="N1712" t="inlineStr">
        <is>
          <t>alt</t>
        </is>
      </c>
      <c r="O1712" t="n">
        <v>30</v>
      </c>
      <c r="P1712" t="n">
        <v>0.001354</v>
      </c>
      <c r="Q1712" t="n">
        <v>-100</v>
      </c>
      <c r="R1712" t="n">
        <v>0.04987</v>
      </c>
      <c r="S1712">
        <f>IMAGE("https://mitra.stanford.edu/kundaje/oak/projects/neuro-variants/variant_position/credible/roussos_2024/variant_figures/roussos_2024.infant.GLU/rs56099546_count_position.png",4,220,900)</f>
        <v/>
      </c>
      <c r="T1712">
        <f>IMAGE("https://mitra.stanford.edu/kundaje/oak/projects/neuro-variants/variant_position/credible/roussos_2024/variant_figures/roussos_2024.infant.GLU/rs56099546_profile_position.png",4,220,900)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0.0374801558</v>
      </c>
      <c r="G1713" t="n">
        <v>0.2464310261730176</v>
      </c>
      <c r="H1713" t="n">
        <v>0.0147945704299837</v>
      </c>
      <c r="I1713" t="n">
        <v>0.3713844025596061</v>
      </c>
      <c r="J1713" t="n">
        <v>0.0406567605105932</v>
      </c>
      <c r="K1713" t="n">
        <v>0.4000743894761988</v>
      </c>
      <c r="L1713" t="b">
        <v>0</v>
      </c>
      <c r="M1713" t="b">
        <v>0</v>
      </c>
      <c r="N1713" t="inlineStr">
        <is>
          <t>alt</t>
        </is>
      </c>
      <c r="O1713" t="n">
        <v>20</v>
      </c>
      <c r="P1713" t="n">
        <v>0.0006943</v>
      </c>
      <c r="Q1713" t="n">
        <v>-80</v>
      </c>
      <c r="R1713" t="n">
        <v>0.04648</v>
      </c>
      <c r="S1713">
        <f>IMAGE("https://mitra.stanford.edu/kundaje/oak/projects/neuro-variants/variant_position/credible/roussos_2024/variant_figures/roussos_2024.infant.GLU/rs4277389_count_position.png",4,220,900)</f>
        <v/>
      </c>
      <c r="T1713">
        <f>IMAGE("https://mitra.stanford.edu/kundaje/oak/projects/neuro-variants/variant_position/credible/roussos_2024/variant_figures/roussos_2024.infant.GLU/rs4277389_profile_position.png",4,220,900)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0.0117042509</v>
      </c>
      <c r="G1714" t="n">
        <v>0.5901082114086408</v>
      </c>
      <c r="H1714" t="n">
        <v>0.008374370678273299</v>
      </c>
      <c r="I1714" t="n">
        <v>0.886177746726462</v>
      </c>
      <c r="J1714" t="n">
        <v>0.0654181088648338</v>
      </c>
      <c r="K1714" t="n">
        <v>0.2966717038812937</v>
      </c>
      <c r="L1714" t="b">
        <v>0</v>
      </c>
      <c r="M1714" t="b">
        <v>0</v>
      </c>
      <c r="N1714" t="inlineStr">
        <is>
          <t>alt</t>
        </is>
      </c>
      <c r="O1714" t="n">
        <v>-30</v>
      </c>
      <c r="P1714" t="n">
        <v>0.007187</v>
      </c>
      <c r="Q1714" t="n">
        <v>5</v>
      </c>
      <c r="R1714" t="n">
        <v>0.013916</v>
      </c>
      <c r="S1714">
        <f>IMAGE("https://mitra.stanford.edu/kundaje/oak/projects/neuro-variants/variant_position/credible/roussos_2024/variant_figures/roussos_2024.infant.GLU/rs4309444_count_position.png",4,220,900)</f>
        <v/>
      </c>
      <c r="T1714">
        <f>IMAGE("https://mitra.stanford.edu/kundaje/oak/projects/neuro-variants/variant_position/credible/roussos_2024/variant_figures/roussos_2024.infant.GLU/rs4309444_profile_position.png",4,220,900)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-0.0258826579999999</v>
      </c>
      <c r="G1715" t="n">
        <v>0.2580257001051336</v>
      </c>
      <c r="H1715" t="n">
        <v>0.0438092973939355</v>
      </c>
      <c r="I1715" t="n">
        <v>0.0138296777409134</v>
      </c>
      <c r="J1715" t="n">
        <v>0.1853788663771247</v>
      </c>
      <c r="K1715" t="n">
        <v>0.1159409345614937</v>
      </c>
      <c r="L1715" t="b">
        <v>1</v>
      </c>
      <c r="M1715" t="b">
        <v>0</v>
      </c>
      <c r="N1715" t="inlineStr">
        <is>
          <t>ref</t>
        </is>
      </c>
      <c r="O1715" t="n">
        <v>-35</v>
      </c>
      <c r="P1715" t="n">
        <v>0.003174</v>
      </c>
      <c r="Q1715" t="n">
        <v>85</v>
      </c>
      <c r="R1715" t="n">
        <v>0.0897</v>
      </c>
      <c r="S1715">
        <f>IMAGE("https://mitra.stanford.edu/kundaje/oak/projects/neuro-variants/variant_position/credible/roussos_2024/variant_figures/roussos_2024.infant.GLU/rs78917479_count_position.png",4,220,900)</f>
        <v/>
      </c>
      <c r="T1715">
        <f>IMAGE("https://mitra.stanford.edu/kundaje/oak/projects/neuro-variants/variant_position/credible/roussos_2024/variant_figures/roussos_2024.infant.GLU/rs78917479_profile_position.png",4,220,900)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-0.0558733996</v>
      </c>
      <c r="G1716" t="n">
        <v>0.1503674473538492</v>
      </c>
      <c r="H1716" t="n">
        <v>0.0138652957351659</v>
      </c>
      <c r="I1716" t="n">
        <v>0.4269448027438083</v>
      </c>
      <c r="J1716" t="n">
        <v>0.07580854957119861</v>
      </c>
      <c r="K1716" t="n">
        <v>0.2729980589715916</v>
      </c>
      <c r="L1716" t="b">
        <v>0</v>
      </c>
      <c r="M1716" t="b">
        <v>0</v>
      </c>
      <c r="N1716" t="inlineStr">
        <is>
          <t>ref</t>
        </is>
      </c>
      <c r="O1716" t="n">
        <v>95</v>
      </c>
      <c r="P1716" t="n">
        <v>0.0225</v>
      </c>
      <c r="Q1716" t="n">
        <v>100</v>
      </c>
      <c r="R1716" t="n">
        <v>0.1129</v>
      </c>
      <c r="S1716">
        <f>IMAGE("https://mitra.stanford.edu/kundaje/oak/projects/neuro-variants/variant_position/credible/roussos_2024/variant_figures/roussos_2024.infant.GLU/rs4335809_count_position.png",4,220,900)</f>
        <v/>
      </c>
      <c r="T1716">
        <f>IMAGE("https://mitra.stanford.edu/kundaje/oak/projects/neuro-variants/variant_position/credible/roussos_2024/variant_figures/roussos_2024.infant.GLU/rs4335809_profile_position.png",4,220,900)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-0.0459166291999999</v>
      </c>
      <c r="G1717" t="n">
        <v>0.1932736557976733</v>
      </c>
      <c r="H1717" t="n">
        <v>0.0114228604828033</v>
      </c>
      <c r="I1717" t="n">
        <v>0.6114418686086992</v>
      </c>
      <c r="J1717" t="n">
        <v>0.1407769130712758</v>
      </c>
      <c r="K1717" t="n">
        <v>0.1634063132892476</v>
      </c>
      <c r="L1717" t="b">
        <v>0</v>
      </c>
      <c r="M1717" t="b">
        <v>0</v>
      </c>
      <c r="N1717" t="inlineStr">
        <is>
          <t>ref</t>
        </is>
      </c>
      <c r="O1717" t="n">
        <v>-75</v>
      </c>
      <c r="P1717" t="n">
        <v>0.008160000000000001</v>
      </c>
      <c r="Q1717" t="n">
        <v>100</v>
      </c>
      <c r="R1717" t="n">
        <v>0.08069999999999999</v>
      </c>
      <c r="S1717">
        <f>IMAGE("https://mitra.stanford.edu/kundaje/oak/projects/neuro-variants/variant_position/credible/roussos_2024/variant_figures/roussos_2024.infant.GLU/rs4523962_count_position.png",4,220,900)</f>
        <v/>
      </c>
      <c r="T1717">
        <f>IMAGE("https://mitra.stanford.edu/kundaje/oak/projects/neuro-variants/variant_position/credible/roussos_2024/variant_figures/roussos_2024.infant.GLU/rs4523962_profile_position.png",4,220,900)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-0.002790740068</v>
      </c>
      <c r="G1718" t="n">
        <v>0.6269422297332147</v>
      </c>
      <c r="H1718" t="n">
        <v>0.0147335950994149</v>
      </c>
      <c r="I1718" t="n">
        <v>0.3743978290561773</v>
      </c>
      <c r="J1718" t="n">
        <v>0.1588968010758614</v>
      </c>
      <c r="K1718" t="n">
        <v>0.1448734301996639</v>
      </c>
      <c r="L1718" t="b">
        <v>0</v>
      </c>
      <c r="M1718" t="b">
        <v>0</v>
      </c>
      <c r="N1718" t="inlineStr">
        <is>
          <t>ref</t>
        </is>
      </c>
      <c r="O1718" t="n">
        <v>75</v>
      </c>
      <c r="P1718" t="n">
        <v>0.00011826</v>
      </c>
      <c r="Q1718" t="n">
        <v>40</v>
      </c>
      <c r="R1718" t="n">
        <v>0.01563</v>
      </c>
      <c r="S1718">
        <f>IMAGE("https://mitra.stanford.edu/kundaje/oak/projects/neuro-variants/variant_position/credible/roussos_2024/variant_figures/roussos_2024.infant.GLU/rs3885074_count_position.png",4,220,900)</f>
        <v/>
      </c>
      <c r="T1718">
        <f>IMAGE("https://mitra.stanford.edu/kundaje/oak/projects/neuro-variants/variant_position/credible/roussos_2024/variant_figures/roussos_2024.infant.GLU/rs3885074_profile_position.png",4,220,900)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-0.0448662764</v>
      </c>
      <c r="G1719" t="n">
        <v>0.2002135955935097</v>
      </c>
      <c r="H1719" t="n">
        <v>0.0130984335870226</v>
      </c>
      <c r="I1719" t="n">
        <v>0.4737585512194313</v>
      </c>
      <c r="J1719" t="n">
        <v>0.0580612447364359</v>
      </c>
      <c r="K1719" t="n">
        <v>0.3128959484407427</v>
      </c>
      <c r="L1719" t="b">
        <v>0</v>
      </c>
      <c r="M1719" t="b">
        <v>0</v>
      </c>
      <c r="N1719" t="inlineStr">
        <is>
          <t>ref</t>
        </is>
      </c>
      <c r="O1719" t="n">
        <v>-95</v>
      </c>
      <c r="P1719" t="n">
        <v>0.00277</v>
      </c>
      <c r="Q1719" t="n">
        <v>-5</v>
      </c>
      <c r="R1719" t="n">
        <v>0.001337</v>
      </c>
      <c r="S1719">
        <f>IMAGE("https://mitra.stanford.edu/kundaje/oak/projects/neuro-variants/variant_position/credible/roussos_2024/variant_figures/roussos_2024.infant.GLU/rs62057147_count_position.png",4,220,900)</f>
        <v/>
      </c>
      <c r="T1719">
        <f>IMAGE("https://mitra.stanford.edu/kundaje/oak/projects/neuro-variants/variant_position/credible/roussos_2024/variant_figures/roussos_2024.infant.GLU/rs62057147_profile_position.png",4,220,900)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-0.0323758062</v>
      </c>
      <c r="G1720" t="n">
        <v>0.297550650812926</v>
      </c>
      <c r="H1720" t="n">
        <v>0.0107077979128358</v>
      </c>
      <c r="I1720" t="n">
        <v>0.6719815606996093</v>
      </c>
      <c r="J1720" t="n">
        <v>0.0516391454838069</v>
      </c>
      <c r="K1720" t="n">
        <v>0.3362323577602421</v>
      </c>
      <c r="L1720" t="b">
        <v>0</v>
      </c>
      <c r="M1720" t="b">
        <v>0</v>
      </c>
      <c r="N1720" t="inlineStr">
        <is>
          <t>ref</t>
        </is>
      </c>
      <c r="O1720" t="n">
        <v>100</v>
      </c>
      <c r="P1720" t="n">
        <v>0.003353</v>
      </c>
      <c r="Q1720" t="n">
        <v>-40</v>
      </c>
      <c r="R1720" t="n">
        <v>0.06995</v>
      </c>
      <c r="S1720">
        <f>IMAGE("https://mitra.stanford.edu/kundaje/oak/projects/neuro-variants/variant_position/credible/roussos_2024/variant_figures/roussos_2024.infant.GLU/rs17763050_count_position.png",4,220,900)</f>
        <v/>
      </c>
      <c r="T1720">
        <f>IMAGE("https://mitra.stanford.edu/kundaje/oak/projects/neuro-variants/variant_position/credible/roussos_2024/variant_figures/roussos_2024.infant.GLU/rs17763050_profile_position.png",4,220,900)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-0.0423459085999999</v>
      </c>
      <c r="G1721" t="n">
        <v>0.2209619036237597</v>
      </c>
      <c r="H1721" t="n">
        <v>0.015000110675471</v>
      </c>
      <c r="I1721" t="n">
        <v>0.3619847360157594</v>
      </c>
      <c r="J1721" t="n">
        <v>0.0272007760312175</v>
      </c>
      <c r="K1721" t="n">
        <v>0.4727420444921283</v>
      </c>
      <c r="L1721" t="b">
        <v>0</v>
      </c>
      <c r="M1721" t="b">
        <v>0</v>
      </c>
      <c r="N1721" t="inlineStr">
        <is>
          <t>ref</t>
        </is>
      </c>
      <c r="O1721" t="n">
        <v>90</v>
      </c>
      <c r="P1721" t="n">
        <v>0.003757</v>
      </c>
      <c r="Q1721" t="n">
        <v>-90</v>
      </c>
      <c r="R1721" t="n">
        <v>0.0774</v>
      </c>
      <c r="S1721">
        <f>IMAGE("https://mitra.stanford.edu/kundaje/oak/projects/neuro-variants/variant_position/credible/roussos_2024/variant_figures/roussos_2024.infant.GLU/rs62057150_count_position.png",4,220,900)</f>
        <v/>
      </c>
      <c r="T1721">
        <f>IMAGE("https://mitra.stanford.edu/kundaje/oak/projects/neuro-variants/variant_position/credible/roussos_2024/variant_figures/roussos_2024.infant.GLU/rs62057150_profile_position.png",4,220,900)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-0.0497320875999999</v>
      </c>
      <c r="G1722" t="n">
        <v>0.1737973832716379</v>
      </c>
      <c r="H1722" t="n">
        <v>0.0100023922124078</v>
      </c>
      <c r="I1722" t="n">
        <v>0.729309913412734</v>
      </c>
      <c r="J1722" t="n">
        <v>0.0247249718909146</v>
      </c>
      <c r="K1722" t="n">
        <v>0.4912466825340868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0.005424</v>
      </c>
      <c r="Q1722" t="n">
        <v>100</v>
      </c>
      <c r="R1722" t="n">
        <v>0.06726</v>
      </c>
      <c r="S1722">
        <f>IMAGE("https://mitra.stanford.edu/kundaje/oak/projects/neuro-variants/variant_position/credible/roussos_2024/variant_figures/roussos_2024.infant.GLU/rs62057151_count_position.png",4,220,900)</f>
        <v/>
      </c>
      <c r="T1722">
        <f>IMAGE("https://mitra.stanford.edu/kundaje/oak/projects/neuro-variants/variant_position/credible/roussos_2024/variant_figures/roussos_2024.infant.GLU/rs62057151_profile_position.png",4,220,900)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0.0603649736</v>
      </c>
      <c r="G1723" t="n">
        <v>0.1201056080963525</v>
      </c>
      <c r="H1723" t="n">
        <v>0.009295020576343901</v>
      </c>
      <c r="I1723" t="n">
        <v>0.8015020786936714</v>
      </c>
      <c r="J1723" t="n">
        <v>0.1443781829405409</v>
      </c>
      <c r="K1723" t="n">
        <v>0.1530177321616685</v>
      </c>
      <c r="L1723" t="b">
        <v>0</v>
      </c>
      <c r="M1723" t="b">
        <v>0</v>
      </c>
      <c r="N1723" t="inlineStr">
        <is>
          <t>alt</t>
        </is>
      </c>
      <c r="O1723" t="n">
        <v>-85</v>
      </c>
      <c r="P1723" t="n">
        <v>0.03008</v>
      </c>
      <c r="Q1723" t="n">
        <v>-50</v>
      </c>
      <c r="R1723" t="n">
        <v>0.0985</v>
      </c>
      <c r="S1723">
        <f>IMAGE("https://mitra.stanford.edu/kundaje/oak/projects/neuro-variants/variant_position/credible/roussos_2024/variant_figures/roussos_2024.infant.GLU/rs62057153_count_position.png",4,220,900)</f>
        <v/>
      </c>
      <c r="T1723">
        <f>IMAGE("https://mitra.stanford.edu/kundaje/oak/projects/neuro-variants/variant_position/credible/roussos_2024/variant_figures/roussos_2024.infant.GLU/rs62057153_profile_position.png",4,220,900)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0.00647270798</v>
      </c>
      <c r="G1724" t="n">
        <v>0.7376918513697581</v>
      </c>
      <c r="H1724" t="n">
        <v>0.009448354251499</v>
      </c>
      <c r="I1724" t="n">
        <v>0.7807097586478184</v>
      </c>
      <c r="J1724" t="n">
        <v>0.1404649573403293</v>
      </c>
      <c r="K1724" t="n">
        <v>0.1581068727644565</v>
      </c>
      <c r="L1724" t="b">
        <v>0</v>
      </c>
      <c r="M1724" t="b">
        <v>0</v>
      </c>
      <c r="N1724" t="inlineStr">
        <is>
          <t>alt</t>
        </is>
      </c>
      <c r="O1724" t="n">
        <v>10</v>
      </c>
      <c r="P1724" t="n">
        <v>0.001892</v>
      </c>
      <c r="Q1724" t="n">
        <v>-100</v>
      </c>
      <c r="R1724" t="n">
        <v>0.1097</v>
      </c>
      <c r="S1724">
        <f>IMAGE("https://mitra.stanford.edu/kundaje/oak/projects/neuro-variants/variant_position/credible/roussos_2024/variant_figures/roussos_2024.infant.GLU/rs62057155_count_position.png",4,220,900)</f>
        <v/>
      </c>
      <c r="T1724">
        <f>IMAGE("https://mitra.stanford.edu/kundaje/oak/projects/neuro-variants/variant_position/credible/roussos_2024/variant_figures/roussos_2024.infant.GLU/rs62057155_profile_position.png",4,220,900)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0.0059489542059999</v>
      </c>
      <c r="G1725" t="n">
        <v>0.7785976225452734</v>
      </c>
      <c r="H1725" t="n">
        <v>0.0112610808894244</v>
      </c>
      <c r="I1725" t="n">
        <v>0.620581489233481</v>
      </c>
      <c r="J1725" t="n">
        <v>0.0440089067219294</v>
      </c>
      <c r="K1725" t="n">
        <v>0.3763553597752322</v>
      </c>
      <c r="L1725" t="b">
        <v>0</v>
      </c>
      <c r="M1725" t="b">
        <v>0</v>
      </c>
      <c r="N1725" t="inlineStr">
        <is>
          <t>alt</t>
        </is>
      </c>
      <c r="O1725" t="n">
        <v>100</v>
      </c>
      <c r="P1725" t="n">
        <v>0.003937</v>
      </c>
      <c r="Q1725" t="n">
        <v>100</v>
      </c>
      <c r="R1725" t="n">
        <v>0.06116</v>
      </c>
      <c r="S1725">
        <f>IMAGE("https://mitra.stanford.edu/kundaje/oak/projects/neuro-variants/variant_position/credible/roussos_2024/variant_figures/roussos_2024.infant.GLU/rs1876829_count_position.png",4,220,900)</f>
        <v/>
      </c>
      <c r="T1725">
        <f>IMAGE("https://mitra.stanford.edu/kundaje/oak/projects/neuro-variants/variant_position/credible/roussos_2024/variant_figures/roussos_2024.infant.GLU/rs1876829_profile_position.png",4,220,900)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-0.070126595</v>
      </c>
      <c r="G1726" t="n">
        <v>0.1030189293554019</v>
      </c>
      <c r="H1726" t="n">
        <v>0.01856417242426</v>
      </c>
      <c r="I1726" t="n">
        <v>0.2304533513667249</v>
      </c>
      <c r="J1726" t="n">
        <v>0.0169745805683546</v>
      </c>
      <c r="K1726" t="n">
        <v>0.5646039372120366</v>
      </c>
      <c r="L1726" t="b">
        <v>0</v>
      </c>
      <c r="M1726" t="b">
        <v>0</v>
      </c>
      <c r="N1726" t="inlineStr">
        <is>
          <t>ref</t>
        </is>
      </c>
      <c r="O1726" t="n">
        <v>20</v>
      </c>
      <c r="P1726" t="n">
        <v>0.000742</v>
      </c>
      <c r="Q1726" t="n">
        <v>-95</v>
      </c>
      <c r="R1726" t="n">
        <v>0.04358</v>
      </c>
      <c r="S1726">
        <f>IMAGE("https://mitra.stanford.edu/kundaje/oak/projects/neuro-variants/variant_position/credible/roussos_2024/variant_figures/roussos_2024.infant.GLU/rs878887_count_position.png",4,220,900)</f>
        <v/>
      </c>
      <c r="T1726">
        <f>IMAGE("https://mitra.stanford.edu/kundaje/oak/projects/neuro-variants/variant_position/credible/roussos_2024/variant_figures/roussos_2024.infant.GLU/rs878887_profile_position.png",4,220,900)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-0.0306826172</v>
      </c>
      <c r="G1727" t="n">
        <v>0.3409864766599582</v>
      </c>
      <c r="H1727" t="n">
        <v>0.0223265332799307</v>
      </c>
      <c r="I1727" t="n">
        <v>0.1405099430297577</v>
      </c>
      <c r="J1727" t="n">
        <v>0.0316640578495998</v>
      </c>
      <c r="K1727" t="n">
        <v>0.4555441609825134</v>
      </c>
      <c r="L1727" t="b">
        <v>0</v>
      </c>
      <c r="M1727" t="b">
        <v>0</v>
      </c>
      <c r="N1727" t="inlineStr">
        <is>
          <t>ref</t>
        </is>
      </c>
      <c r="O1727" t="n">
        <v>-10</v>
      </c>
      <c r="P1727" t="n">
        <v>0.000206</v>
      </c>
      <c r="Q1727" t="n">
        <v>-85</v>
      </c>
      <c r="R1727" t="n">
        <v>0.0335</v>
      </c>
      <c r="S1727">
        <f>IMAGE("https://mitra.stanford.edu/kundaje/oak/projects/neuro-variants/variant_position/credible/roussos_2024/variant_figures/roussos_2024.infant.GLU/rs75104593_count_position.png",4,220,900)</f>
        <v/>
      </c>
      <c r="T1727">
        <f>IMAGE("https://mitra.stanford.edu/kundaje/oak/projects/neuro-variants/variant_position/credible/roussos_2024/variant_figures/roussos_2024.infant.GLU/rs75104593_profile_position.png",4,220,900)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-0.0310491457</v>
      </c>
      <c r="G1728" t="n">
        <v>0.3520441929970643</v>
      </c>
      <c r="H1728" t="n">
        <v>0.0205277124988583</v>
      </c>
      <c r="I1728" t="n">
        <v>0.1765723950892236</v>
      </c>
      <c r="J1728" t="n">
        <v>0.0316376022399082</v>
      </c>
      <c r="K1728" t="n">
        <v>0.4556631658825236</v>
      </c>
      <c r="L1728" t="b">
        <v>0</v>
      </c>
      <c r="M1728" t="b">
        <v>0</v>
      </c>
      <c r="N1728" t="inlineStr">
        <is>
          <t>ref</t>
        </is>
      </c>
      <c r="O1728" t="n">
        <v>-90</v>
      </c>
      <c r="P1728" t="n">
        <v>0.001234</v>
      </c>
      <c r="Q1728" t="n">
        <v>-90</v>
      </c>
      <c r="R1728" t="n">
        <v>0.02754</v>
      </c>
      <c r="S1728">
        <f>IMAGE("https://mitra.stanford.edu/kundaje/oak/projects/neuro-variants/variant_position/credible/roussos_2024/variant_figures/roussos_2024.infant.GLU/rs74998289_count_position.png",4,220,900)</f>
        <v/>
      </c>
      <c r="T1728">
        <f>IMAGE("https://mitra.stanford.edu/kundaje/oak/projects/neuro-variants/variant_position/credible/roussos_2024/variant_figures/roussos_2024.infant.GLU/rs74998289_profile_position.png",4,220,900)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-0.029600101</v>
      </c>
      <c r="G1729" t="n">
        <v>0.3191969624104503</v>
      </c>
      <c r="H1729" t="n">
        <v>0.0128812426240971</v>
      </c>
      <c r="I1729" t="n">
        <v>0.4937641556174733</v>
      </c>
      <c r="J1729" t="n">
        <v>0.1186060098326682</v>
      </c>
      <c r="K1729" t="n">
        <v>0.1931498221802849</v>
      </c>
      <c r="L1729" t="b">
        <v>0</v>
      </c>
      <c r="M1729" t="b">
        <v>0</v>
      </c>
      <c r="N1729" t="inlineStr">
        <is>
          <t>ref</t>
        </is>
      </c>
      <c r="O1729" t="n">
        <v>-55</v>
      </c>
      <c r="P1729" t="n">
        <v>0.002966</v>
      </c>
      <c r="Q1729" t="n">
        <v>30</v>
      </c>
      <c r="R1729" t="n">
        <v>0.01398</v>
      </c>
      <c r="S1729">
        <f>IMAGE("https://mitra.stanford.edu/kundaje/oak/projects/neuro-variants/variant_position/credible/roussos_2024/variant_figures/roussos_2024.infant.GLU/rs62054804_count_position.png",4,220,900)</f>
        <v/>
      </c>
      <c r="T1729">
        <f>IMAGE("https://mitra.stanford.edu/kundaje/oak/projects/neuro-variants/variant_position/credible/roussos_2024/variant_figures/roussos_2024.infant.GLU/rs62054804_profile_position.png",4,220,900)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-0.00034232862</v>
      </c>
      <c r="G1730" t="n">
        <v>0.7214650836016488</v>
      </c>
      <c r="H1730" t="n">
        <v>0.0388842457671229</v>
      </c>
      <c r="I1730" t="n">
        <v>0.0225468876604865</v>
      </c>
      <c r="J1730" t="n">
        <v>0.1766959148129367</v>
      </c>
      <c r="K1730" t="n">
        <v>0.1237813066658211</v>
      </c>
      <c r="L1730" t="b">
        <v>0</v>
      </c>
      <c r="M1730" t="b">
        <v>0</v>
      </c>
      <c r="N1730" t="inlineStr">
        <is>
          <t>ref</t>
        </is>
      </c>
      <c r="O1730" t="n">
        <v>95</v>
      </c>
      <c r="P1730" t="n">
        <v>0.02759</v>
      </c>
      <c r="Q1730" t="n">
        <v>95</v>
      </c>
      <c r="R1730" t="n">
        <v>0.3289</v>
      </c>
      <c r="S1730">
        <f>IMAGE("https://mitra.stanford.edu/kundaje/oak/projects/neuro-variants/variant_position/credible/roussos_2024/variant_figures/roussos_2024.infant.GLU/rs74922289_count_position.png",4,220,900)</f>
        <v/>
      </c>
      <c r="T1730">
        <f>IMAGE("https://mitra.stanford.edu/kundaje/oak/projects/neuro-variants/variant_position/credible/roussos_2024/variant_figures/roussos_2024.infant.GLU/rs74922289_profile_position.png",4,220,900)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0.0477895742</v>
      </c>
      <c r="G1731" t="n">
        <v>0.1168493629362059</v>
      </c>
      <c r="H1731" t="n">
        <v>0.0172697365061191</v>
      </c>
      <c r="I1731" t="n">
        <v>0.2653421381005504</v>
      </c>
      <c r="J1731" t="n">
        <v>0.2663694084966599</v>
      </c>
      <c r="K1731" t="n">
        <v>0.0783394094326039</v>
      </c>
      <c r="L1731" t="b">
        <v>0</v>
      </c>
      <c r="M1731" t="b">
        <v>0</v>
      </c>
      <c r="N1731" t="inlineStr">
        <is>
          <t>alt</t>
        </is>
      </c>
      <c r="O1731" t="n">
        <v>25</v>
      </c>
      <c r="P1731" t="n">
        <v>0.001434</v>
      </c>
      <c r="Q1731" t="n">
        <v>100</v>
      </c>
      <c r="R1731" t="n">
        <v>0.11865</v>
      </c>
      <c r="S1731">
        <f>IMAGE("https://mitra.stanford.edu/kundaje/oak/projects/neuro-variants/variant_position/credible/roussos_2024/variant_figures/roussos_2024.infant.GLU/rs56971664_count_position.png",4,220,900)</f>
        <v/>
      </c>
      <c r="T1731">
        <f>IMAGE("https://mitra.stanford.edu/kundaje/oak/projects/neuro-variants/variant_position/credible/roussos_2024/variant_figures/roussos_2024.infant.GLU/rs56971664_profile_position.png",4,220,900)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0.172731556</v>
      </c>
      <c r="G1732" t="n">
        <v>0.0146507133011977</v>
      </c>
      <c r="H1732" t="n">
        <v>0.0607666977073413</v>
      </c>
      <c r="I1732" t="n">
        <v>0.0028953972842091</v>
      </c>
      <c r="J1732" t="n">
        <v>0.0065036707158446</v>
      </c>
      <c r="K1732" t="n">
        <v>0.7307757251563587</v>
      </c>
      <c r="L1732" t="b">
        <v>1</v>
      </c>
      <c r="M1732" t="b">
        <v>0</v>
      </c>
      <c r="N1732" t="inlineStr">
        <is>
          <t>alt</t>
        </is>
      </c>
      <c r="O1732" t="n">
        <v>-60</v>
      </c>
      <c r="P1732" t="n">
        <v>0.00609</v>
      </c>
      <c r="Q1732" t="n">
        <v>-30</v>
      </c>
      <c r="R1732" t="n">
        <v>0.03088</v>
      </c>
      <c r="S1732">
        <f>IMAGE("https://mitra.stanford.edu/kundaje/oak/projects/neuro-variants/variant_position/credible/roussos_2024/variant_figures/roussos_2024.infant.GLU/rs17763596_count_position.png",4,220,900)</f>
        <v/>
      </c>
      <c r="T1732">
        <f>IMAGE("https://mitra.stanford.edu/kundaje/oak/projects/neuro-variants/variant_position/credible/roussos_2024/variant_figures/roussos_2024.infant.GLU/rs17763596_profile_position.png",4,220,900)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-0.119828546</v>
      </c>
      <c r="G1733" t="n">
        <v>0.034500272716246</v>
      </c>
      <c r="H1733" t="n">
        <v>0.0190864844541139</v>
      </c>
      <c r="I1733" t="n">
        <v>0.211947856921733</v>
      </c>
      <c r="J1733" t="n">
        <v>0.1382592208822945</v>
      </c>
      <c r="K1733" t="n">
        <v>0.1722933369773892</v>
      </c>
      <c r="L1733" t="b">
        <v>0</v>
      </c>
      <c r="M1733" t="b">
        <v>0</v>
      </c>
      <c r="N1733" t="inlineStr">
        <is>
          <t>ref</t>
        </is>
      </c>
      <c r="O1733" t="n">
        <v>70</v>
      </c>
      <c r="P1733" t="n">
        <v>0.002804</v>
      </c>
      <c r="Q1733" t="n">
        <v>10</v>
      </c>
      <c r="R1733" t="n">
        <v>0.005493</v>
      </c>
      <c r="S1733">
        <f>IMAGE("https://mitra.stanford.edu/kundaje/oak/projects/neuro-variants/variant_position/credible/roussos_2024/variant_figures/roussos_2024.infant.GLU/rs62054815_count_position.png",4,220,900)</f>
        <v/>
      </c>
      <c r="T1733">
        <f>IMAGE("https://mitra.stanford.edu/kundaje/oak/projects/neuro-variants/variant_position/credible/roussos_2024/variant_figures/roussos_2024.infant.GLU/rs62054815_profile_position.png",4,220,900)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0.125733476</v>
      </c>
      <c r="G1734" t="n">
        <v>0.0320288564570913</v>
      </c>
      <c r="H1734" t="n">
        <v>0.0189741242311838</v>
      </c>
      <c r="I1734" t="n">
        <v>0.2155602512794162</v>
      </c>
      <c r="J1734" t="n">
        <v>0.08260212967658009</v>
      </c>
      <c r="K1734" t="n">
        <v>0.2444730098270029</v>
      </c>
      <c r="L1734" t="b">
        <v>0</v>
      </c>
      <c r="M1734" t="b">
        <v>0</v>
      </c>
      <c r="N1734" t="inlineStr">
        <is>
          <t>alt</t>
        </is>
      </c>
      <c r="O1734" t="n">
        <v>100</v>
      </c>
      <c r="P1734" t="n">
        <v>0.003359</v>
      </c>
      <c r="Q1734" t="n">
        <v>25</v>
      </c>
      <c r="R1734" t="n">
        <v>0.04895</v>
      </c>
      <c r="S1734">
        <f>IMAGE("https://mitra.stanford.edu/kundaje/oak/projects/neuro-variants/variant_position/credible/roussos_2024/variant_figures/roussos_2024.infant.GLU/rs11079725_count_position.png",4,220,900)</f>
        <v/>
      </c>
      <c r="T1734">
        <f>IMAGE("https://mitra.stanford.edu/kundaje/oak/projects/neuro-variants/variant_position/credible/roussos_2024/variant_figures/roussos_2024.infant.GLU/rs11079725_profile_position.png",4,220,900)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-0.00093465322</v>
      </c>
      <c r="G1735" t="n">
        <v>0.6826283207652477</v>
      </c>
      <c r="H1735" t="n">
        <v>0.0084524446770475</v>
      </c>
      <c r="I1735" t="n">
        <v>0.8778080817936523</v>
      </c>
      <c r="J1735" t="n">
        <v>0.1899986772195153</v>
      </c>
      <c r="K1735" t="n">
        <v>0.1155050184663677</v>
      </c>
      <c r="L1735" t="b">
        <v>0</v>
      </c>
      <c r="M1735" t="b">
        <v>0</v>
      </c>
      <c r="N1735" t="inlineStr">
        <is>
          <t>ref</t>
        </is>
      </c>
      <c r="O1735" t="n">
        <v>65</v>
      </c>
      <c r="P1735" t="n">
        <v>0.02553</v>
      </c>
      <c r="Q1735" t="n">
        <v>50</v>
      </c>
      <c r="R1735" t="n">
        <v>0.0698</v>
      </c>
      <c r="S1735">
        <f>IMAGE("https://mitra.stanford.edu/kundaje/oak/projects/neuro-variants/variant_position/credible/roussos_2024/variant_figures/roussos_2024.infant.GLU/rs55943825_count_position.png",4,220,900)</f>
        <v/>
      </c>
      <c r="T1735">
        <f>IMAGE("https://mitra.stanford.edu/kundaje/oak/projects/neuro-variants/variant_position/credible/roussos_2024/variant_figures/roussos_2024.infant.GLU/rs55943825_profile_position.png",4,220,900)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-0.00247273934</v>
      </c>
      <c r="G1736" t="n">
        <v>0.4810663995981899</v>
      </c>
      <c r="H1736" t="n">
        <v>0.0185698741626956</v>
      </c>
      <c r="I1736" t="n">
        <v>0.2290929768855482</v>
      </c>
      <c r="J1736" t="n">
        <v>0.1184329460526025</v>
      </c>
      <c r="K1736" t="n">
        <v>0.1852098897711643</v>
      </c>
      <c r="L1736" t="b">
        <v>0</v>
      </c>
      <c r="M1736" t="b">
        <v>0</v>
      </c>
      <c r="N1736" t="inlineStr">
        <is>
          <t>ref</t>
        </is>
      </c>
      <c r="O1736" t="n">
        <v>55</v>
      </c>
      <c r="P1736" t="n">
        <v>0.001755</v>
      </c>
      <c r="Q1736" t="n">
        <v>-90</v>
      </c>
      <c r="R1736" t="n">
        <v>0.1383</v>
      </c>
      <c r="S1736">
        <f>IMAGE("https://mitra.stanford.edu/kundaje/oak/projects/neuro-variants/variant_position/credible/roussos_2024/variant_figures/roussos_2024.infant.GLU/rs62054817_count_position.png",4,220,900)</f>
        <v/>
      </c>
      <c r="T1736">
        <f>IMAGE("https://mitra.stanford.edu/kundaje/oak/projects/neuro-variants/variant_position/credible/roussos_2024/variant_figures/roussos_2024.infant.GLU/rs62054817_profile_position.png",4,220,900)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0.06568548439999999</v>
      </c>
      <c r="G1737" t="n">
        <v>0.1070865445217991</v>
      </c>
      <c r="H1737" t="n">
        <v>0.0147569483103881</v>
      </c>
      <c r="I1737" t="n">
        <v>0.3749475497072493</v>
      </c>
      <c r="J1737" t="n">
        <v>0.4482550320774267</v>
      </c>
      <c r="K1737" t="n">
        <v>0.0373781076343476</v>
      </c>
      <c r="L1737" t="b">
        <v>0</v>
      </c>
      <c r="M1737" t="b">
        <v>0</v>
      </c>
      <c r="N1737" t="inlineStr">
        <is>
          <t>alt</t>
        </is>
      </c>
      <c r="O1737" t="n">
        <v>90</v>
      </c>
      <c r="P1737" t="n">
        <v>0.0457</v>
      </c>
      <c r="Q1737" t="n">
        <v>90</v>
      </c>
      <c r="R1737" t="n">
        <v>0.1841</v>
      </c>
      <c r="S1737">
        <f>IMAGE("https://mitra.stanford.edu/kundaje/oak/projects/neuro-variants/variant_position/credible/roussos_2024/variant_figures/roussos_2024.infant.GLU/rs62054824_count_position.png",4,220,900)</f>
        <v/>
      </c>
      <c r="T1737">
        <f>IMAGE("https://mitra.stanford.edu/kundaje/oak/projects/neuro-variants/variant_position/credible/roussos_2024/variant_figures/roussos_2024.infant.GLU/rs62054824_profile_position.png",4,220,900)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-0.368547584</v>
      </c>
      <c r="G1738" t="n">
        <v>0.0013989991281813</v>
      </c>
      <c r="H1738" t="n">
        <v>0.0492478426769361</v>
      </c>
      <c r="I1738" t="n">
        <v>0.0087763182801121</v>
      </c>
      <c r="J1738" t="n">
        <v>0.4215216384840936</v>
      </c>
      <c r="K1738" t="n">
        <v>0.0415035994762123</v>
      </c>
      <c r="L1738" t="b">
        <v>1</v>
      </c>
      <c r="M1738" t="b">
        <v>1</v>
      </c>
      <c r="N1738" t="inlineStr">
        <is>
          <t>ref</t>
        </is>
      </c>
      <c r="O1738" t="n">
        <v>100</v>
      </c>
      <c r="P1738" t="n">
        <v>0.2296</v>
      </c>
      <c r="Q1738" t="n">
        <v>100</v>
      </c>
      <c r="R1738" t="n">
        <v>0.3867</v>
      </c>
      <c r="S1738">
        <f>IMAGE("https://mitra.stanford.edu/kundaje/oak/projects/neuro-variants/variant_position/credible/roussos_2024/variant_figures/roussos_2024.infant.GLU/rs62054825_count_position.png",4,220,900)</f>
        <v/>
      </c>
      <c r="T1738">
        <f>IMAGE("https://mitra.stanford.edu/kundaje/oak/projects/neuro-variants/variant_position/credible/roussos_2024/variant_figures/roussos_2024.infant.GLU/rs62054825_profile_position.png",4,220,900)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0.128574228</v>
      </c>
      <c r="G1739" t="n">
        <v>0.0307587041689524</v>
      </c>
      <c r="H1739" t="n">
        <v>0.0401101403485543</v>
      </c>
      <c r="I1739" t="n">
        <v>0.0202619199601812</v>
      </c>
      <c r="J1739" t="n">
        <v>0.0172192949580016</v>
      </c>
      <c r="K1739" t="n">
        <v>0.5613597129928113</v>
      </c>
      <c r="L1739" t="b">
        <v>0</v>
      </c>
      <c r="M1739" t="b">
        <v>0</v>
      </c>
      <c r="N1739" t="inlineStr">
        <is>
          <t>alt</t>
        </is>
      </c>
      <c r="O1739" t="n">
        <v>70</v>
      </c>
      <c r="P1739" t="n">
        <v>0.005287</v>
      </c>
      <c r="Q1739" t="n">
        <v>100</v>
      </c>
      <c r="R1739" t="n">
        <v>0.04004</v>
      </c>
      <c r="S1739">
        <f>IMAGE("https://mitra.stanford.edu/kundaje/oak/projects/neuro-variants/variant_position/credible/roussos_2024/variant_figures/roussos_2024.infant.GLU/rs56026128_count_position.png",4,220,900)</f>
        <v/>
      </c>
      <c r="T1739">
        <f>IMAGE("https://mitra.stanford.edu/kundaje/oak/projects/neuro-variants/variant_position/credible/roussos_2024/variant_figures/roussos_2024.infant.GLU/rs56026128_profile_position.png",4,220,900)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0.040787874</v>
      </c>
      <c r="G1740" t="n">
        <v>0.2360836463485616</v>
      </c>
      <c r="H1740" t="n">
        <v>0.0314948399880127</v>
      </c>
      <c r="I1740" t="n">
        <v>0.0498457175010167</v>
      </c>
      <c r="J1740" t="n">
        <v>0.0114387442403932</v>
      </c>
      <c r="K1740" t="n">
        <v>0.6336465062963033</v>
      </c>
      <c r="L1740" t="b">
        <v>0</v>
      </c>
      <c r="M1740" t="b">
        <v>0</v>
      </c>
      <c r="N1740" t="inlineStr">
        <is>
          <t>alt</t>
        </is>
      </c>
      <c r="O1740" t="n">
        <v>70</v>
      </c>
      <c r="P1740" t="n">
        <v>0.004097</v>
      </c>
      <c r="Q1740" t="n">
        <v>100</v>
      </c>
      <c r="R1740" t="n">
        <v>0.04303</v>
      </c>
      <c r="S1740">
        <f>IMAGE("https://mitra.stanford.edu/kundaje/oak/projects/neuro-variants/variant_position/credible/roussos_2024/variant_figures/roussos_2024.infant.GLU/rs56329743_count_position.png",4,220,900)</f>
        <v/>
      </c>
      <c r="T1740">
        <f>IMAGE("https://mitra.stanford.edu/kundaje/oak/projects/neuro-variants/variant_position/credible/roussos_2024/variant_figures/roussos_2024.infant.GLU/rs56329743_profile_position.png",4,220,900)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0.0115048518</v>
      </c>
      <c r="G1741" t="n">
        <v>0.5430991146345437</v>
      </c>
      <c r="H1741" t="n">
        <v>0.0132984821506223</v>
      </c>
      <c r="I1741" t="n">
        <v>0.460409376206882</v>
      </c>
      <c r="J1741" t="n">
        <v>0.001198218655614</v>
      </c>
      <c r="K1741" t="n">
        <v>0.8923223893176797</v>
      </c>
      <c r="L1741" t="b">
        <v>0</v>
      </c>
      <c r="M1741" t="b">
        <v>0</v>
      </c>
      <c r="N1741" t="inlineStr">
        <is>
          <t>alt</t>
        </is>
      </c>
      <c r="O1741" t="n">
        <v>35</v>
      </c>
      <c r="P1741" t="n">
        <v>0.002686</v>
      </c>
      <c r="Q1741" t="n">
        <v>100</v>
      </c>
      <c r="R1741" t="n">
        <v>0.05237</v>
      </c>
      <c r="S1741">
        <f>IMAGE("https://mitra.stanford.edu/kundaje/oak/projects/neuro-variants/variant_position/credible/roussos_2024/variant_figures/roussos_2024.infant.GLU/rs62054844_count_position.png",4,220,900)</f>
        <v/>
      </c>
      <c r="T1741">
        <f>IMAGE("https://mitra.stanford.edu/kundaje/oak/projects/neuro-variants/variant_position/credible/roussos_2024/variant_figures/roussos_2024.infant.GLU/rs62054844_profile_position.png",4,220,900)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-0.0958001126</v>
      </c>
      <c r="G1742" t="n">
        <v>0.0558560179029931</v>
      </c>
      <c r="H1742" t="n">
        <v>0.0169205738140161</v>
      </c>
      <c r="I1742" t="n">
        <v>0.2792496916732997</v>
      </c>
      <c r="J1742" t="n">
        <v>0.0007947706078175</v>
      </c>
      <c r="K1742" t="n">
        <v>0.9150742349245456</v>
      </c>
      <c r="L1742" t="b">
        <v>0</v>
      </c>
      <c r="M1742" t="b">
        <v>0</v>
      </c>
      <c r="N1742" t="inlineStr">
        <is>
          <t>ref</t>
        </is>
      </c>
      <c r="O1742" t="n">
        <v>-90</v>
      </c>
      <c r="P1742" t="n">
        <v>0.006348</v>
      </c>
      <c r="Q1742" t="n">
        <v>70</v>
      </c>
      <c r="R1742" t="n">
        <v>0.0757</v>
      </c>
      <c r="S1742">
        <f>IMAGE("https://mitra.stanford.edu/kundaje/oak/projects/neuro-variants/variant_position/credible/roussos_2024/variant_figures/roussos_2024.infant.GLU/rs76627340_count_position.png",4,220,900)</f>
        <v/>
      </c>
      <c r="T1742">
        <f>IMAGE("https://mitra.stanford.edu/kundaje/oak/projects/neuro-variants/variant_position/credible/roussos_2024/variant_figures/roussos_2024.infant.GLU/rs76627340_profile_position.png",4,220,900)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0.1600669828</v>
      </c>
      <c r="G1743" t="n">
        <v>0.0192798768922746</v>
      </c>
      <c r="H1743" t="n">
        <v>0.0226925459066972</v>
      </c>
      <c r="I1743" t="n">
        <v>0.136981128764751</v>
      </c>
      <c r="J1743" t="n">
        <v>0.5317687779712956</v>
      </c>
      <c r="K1743" t="n">
        <v>0.0270956125520979</v>
      </c>
      <c r="L1743" t="b">
        <v>1</v>
      </c>
      <c r="M1743" t="b">
        <v>0</v>
      </c>
      <c r="N1743" t="inlineStr">
        <is>
          <t>alt</t>
        </is>
      </c>
      <c r="O1743" t="n">
        <v>100</v>
      </c>
      <c r="P1743" t="n">
        <v>0.010925</v>
      </c>
      <c r="Q1743" t="n">
        <v>-40</v>
      </c>
      <c r="R1743" t="n">
        <v>0.1665</v>
      </c>
      <c r="S1743">
        <f>IMAGE("https://mitra.stanford.edu/kundaje/oak/projects/neuro-variants/variant_position/credible/roussos_2024/variant_figures/roussos_2024.infant.GLU/rs62054846_count_position.png",4,220,900)</f>
        <v/>
      </c>
      <c r="T1743">
        <f>IMAGE("https://mitra.stanford.edu/kundaje/oak/projects/neuro-variants/variant_position/credible/roussos_2024/variant_figures/roussos_2024.infant.GLU/rs62054846_profile_position.png",4,220,900)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0.021454473808</v>
      </c>
      <c r="G1744" t="n">
        <v>0.3707456136640895</v>
      </c>
      <c r="H1744" t="n">
        <v>0.0114566467628304</v>
      </c>
      <c r="I1744" t="n">
        <v>0.5983819967720111</v>
      </c>
      <c r="J1744" t="n">
        <v>0.5687482087347605</v>
      </c>
      <c r="K1744" t="n">
        <v>0.0236186954257869</v>
      </c>
      <c r="L1744" t="b">
        <v>0</v>
      </c>
      <c r="M1744" t="b">
        <v>0</v>
      </c>
      <c r="N1744" t="inlineStr">
        <is>
          <t>alt</t>
        </is>
      </c>
      <c r="O1744" t="n">
        <v>-85</v>
      </c>
      <c r="P1744" t="n">
        <v>0.003506</v>
      </c>
      <c r="Q1744" t="n">
        <v>-20</v>
      </c>
      <c r="R1744" t="n">
        <v>0.09326</v>
      </c>
      <c r="S1744">
        <f>IMAGE("https://mitra.stanford.edu/kundaje/oak/projects/neuro-variants/variant_position/credible/roussos_2024/variant_figures/roussos_2024.infant.GLU/rs56227067_count_position.png",4,220,900)</f>
        <v/>
      </c>
      <c r="T1744">
        <f>IMAGE("https://mitra.stanford.edu/kundaje/oak/projects/neuro-variants/variant_position/credible/roussos_2024/variant_figures/roussos_2024.infant.GLU/rs56227067_profile_position.png",4,220,900)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-0.2122351199999999</v>
      </c>
      <c r="G1745" t="n">
        <v>0.0087985767895018</v>
      </c>
      <c r="H1745" t="n">
        <v>0.0307452891049268</v>
      </c>
      <c r="I1745" t="n">
        <v>0.0535513797758192</v>
      </c>
      <c r="J1745" t="n">
        <v>0.5353854802795477</v>
      </c>
      <c r="K1745" t="n">
        <v>0.0268688632917662</v>
      </c>
      <c r="L1745" t="b">
        <v>1</v>
      </c>
      <c r="M1745" t="b">
        <v>1</v>
      </c>
      <c r="N1745" t="inlineStr">
        <is>
          <t>ref</t>
        </is>
      </c>
      <c r="O1745" t="n">
        <v>-40</v>
      </c>
      <c r="P1745" t="n">
        <v>0.002625</v>
      </c>
      <c r="Q1745" t="n">
        <v>-50</v>
      </c>
      <c r="R1745" t="n">
        <v>0.1816</v>
      </c>
      <c r="S1745">
        <f>IMAGE("https://mitra.stanford.edu/kundaje/oak/projects/neuro-variants/variant_position/credible/roussos_2024/variant_figures/roussos_2024.infant.GLU/rs55719714_count_position.png",4,220,900)</f>
        <v/>
      </c>
      <c r="T1745">
        <f>IMAGE("https://mitra.stanford.edu/kundaje/oak/projects/neuro-variants/variant_position/credible/roussos_2024/variant_figures/roussos_2024.infant.GLU/rs55719714_profile_position.png",4,220,900)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-0.02376434846</v>
      </c>
      <c r="G1746" t="n">
        <v>0.408730158514618</v>
      </c>
      <c r="H1746" t="n">
        <v>0.0127821347172758</v>
      </c>
      <c r="I1746" t="n">
        <v>0.5009643899029167</v>
      </c>
      <c r="J1746" t="n">
        <v>0.0270067682268127</v>
      </c>
      <c r="K1746" t="n">
        <v>0.4737118386896009</v>
      </c>
      <c r="L1746" t="b">
        <v>0</v>
      </c>
      <c r="M1746" t="b">
        <v>0</v>
      </c>
      <c r="N1746" t="inlineStr">
        <is>
          <t>ref</t>
        </is>
      </c>
      <c r="O1746" t="n">
        <v>75</v>
      </c>
      <c r="P1746" t="n">
        <v>0.00592</v>
      </c>
      <c r="Q1746" t="n">
        <v>-90</v>
      </c>
      <c r="R1746" t="n">
        <v>0.05685</v>
      </c>
      <c r="S1746">
        <f>IMAGE("https://mitra.stanford.edu/kundaje/oak/projects/neuro-variants/variant_position/credible/roussos_2024/variant_figures/roussos_2024.infant.GLU/rs62054859_count_position.png",4,220,900)</f>
        <v/>
      </c>
      <c r="T1746">
        <f>IMAGE("https://mitra.stanford.edu/kundaje/oak/projects/neuro-variants/variant_position/credible/roussos_2024/variant_figures/roussos_2024.infant.GLU/rs62054859_profile_position.png",4,220,900)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0.0015323666</v>
      </c>
      <c r="G1747" t="n">
        <v>0.5092738034231824</v>
      </c>
      <c r="H1747" t="n">
        <v>0.0211118290090116</v>
      </c>
      <c r="I1747" t="n">
        <v>0.1602584872318958</v>
      </c>
      <c r="J1747" t="n">
        <v>0.0497233184153089</v>
      </c>
      <c r="K1747" t="n">
        <v>0.3395052478945391</v>
      </c>
      <c r="L1747" t="b">
        <v>0</v>
      </c>
      <c r="M1747" t="b">
        <v>0</v>
      </c>
      <c r="N1747" t="inlineStr">
        <is>
          <t>alt</t>
        </is>
      </c>
      <c r="O1747" t="n">
        <v>75</v>
      </c>
      <c r="P1747" t="n">
        <v>0.007294</v>
      </c>
      <c r="Q1747" t="n">
        <v>5</v>
      </c>
      <c r="R1747" t="n">
        <v>0.002686</v>
      </c>
      <c r="S1747">
        <f>IMAGE("https://mitra.stanford.edu/kundaje/oak/projects/neuro-variants/variant_position/credible/roussos_2024/variant_figures/roussos_2024.infant.GLU/rs62055469_count_position.png",4,220,900)</f>
        <v/>
      </c>
      <c r="T1747">
        <f>IMAGE("https://mitra.stanford.edu/kundaje/oak/projects/neuro-variants/variant_position/credible/roussos_2024/variant_figures/roussos_2024.infant.GLU/rs62055469_profile_position.png",4,220,900)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0.0502770452</v>
      </c>
      <c r="G1748" t="n">
        <v>0.1693762473645789</v>
      </c>
      <c r="H1748" t="n">
        <v>0.0103076260978522</v>
      </c>
      <c r="I1748" t="n">
        <v>0.688733736748684</v>
      </c>
      <c r="J1748" t="n">
        <v>0.0420533962388941</v>
      </c>
      <c r="K1748" t="n">
        <v>0.374950537339389</v>
      </c>
      <c r="L1748" t="b">
        <v>0</v>
      </c>
      <c r="M1748" t="b">
        <v>0</v>
      </c>
      <c r="N1748" t="inlineStr">
        <is>
          <t>alt</t>
        </is>
      </c>
      <c r="O1748" t="n">
        <v>25</v>
      </c>
      <c r="P1748" t="n">
        <v>0.03766</v>
      </c>
      <c r="Q1748" t="n">
        <v>25</v>
      </c>
      <c r="R1748" t="n">
        <v>0.03082</v>
      </c>
      <c r="S1748">
        <f>IMAGE("https://mitra.stanford.edu/kundaje/oak/projects/neuro-variants/variant_position/credible/roussos_2024/variant_figures/roussos_2024.infant.GLU/rs56327054_count_position.png",4,220,900)</f>
        <v/>
      </c>
      <c r="T1748">
        <f>IMAGE("https://mitra.stanford.edu/kundaje/oak/projects/neuro-variants/variant_position/credible/roussos_2024/variant_figures/roussos_2024.infant.GLU/rs56327054_profile_position.png",4,220,900)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0.0680876244</v>
      </c>
      <c r="G1749" t="n">
        <v>0.1054378453790668</v>
      </c>
      <c r="H1749" t="n">
        <v>0.0138417965913712</v>
      </c>
      <c r="I1749" t="n">
        <v>0.4305801887937645</v>
      </c>
      <c r="J1749" t="n">
        <v>0.3931987036751251</v>
      </c>
      <c r="K1749" t="n">
        <v>0.0470863870577467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0.012665</v>
      </c>
      <c r="Q1749" t="n">
        <v>100</v>
      </c>
      <c r="R1749" t="n">
        <v>0.11816</v>
      </c>
      <c r="S1749">
        <f>IMAGE("https://mitra.stanford.edu/kundaje/oak/projects/neuro-variants/variant_position/credible/roussos_2024/variant_figures/roussos_2024.infant.GLU/rs62055475_count_position.png",4,220,900)</f>
        <v/>
      </c>
      <c r="T1749">
        <f>IMAGE("https://mitra.stanford.edu/kundaje/oak/projects/neuro-variants/variant_position/credible/roussos_2024/variant_figures/roussos_2024.infant.GLU/rs62055475_profile_position.png",4,220,900)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0.1166991979999999</v>
      </c>
      <c r="G1750" t="n">
        <v>0.036105853054841</v>
      </c>
      <c r="H1750" t="n">
        <v>0.0232367466416455</v>
      </c>
      <c r="I1750" t="n">
        <v>0.1266241963065142</v>
      </c>
      <c r="J1750" t="n">
        <v>0.208676337661765</v>
      </c>
      <c r="K1750" t="n">
        <v>0.1044882008446522</v>
      </c>
      <c r="L1750" t="b">
        <v>0</v>
      </c>
      <c r="M1750" t="b">
        <v>0</v>
      </c>
      <c r="N1750" t="inlineStr">
        <is>
          <t>alt</t>
        </is>
      </c>
      <c r="O1750" t="n">
        <v>-20</v>
      </c>
      <c r="P1750" t="n">
        <v>0.00595</v>
      </c>
      <c r="Q1750" t="n">
        <v>-75</v>
      </c>
      <c r="R1750" t="n">
        <v>0.07227</v>
      </c>
      <c r="S1750">
        <f>IMAGE("https://mitra.stanford.edu/kundaje/oak/projects/neuro-variants/variant_position/credible/roussos_2024/variant_figures/roussos_2024.infant.GLU/rs56289364_count_position.png",4,220,900)</f>
        <v/>
      </c>
      <c r="T1750">
        <f>IMAGE("https://mitra.stanford.edu/kundaje/oak/projects/neuro-variants/variant_position/credible/roussos_2024/variant_figures/roussos_2024.infant.GLU/rs56289364_profile_position.png",4,220,900)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0.0213582947</v>
      </c>
      <c r="G1751" t="n">
        <v>0.4230805583727427</v>
      </c>
      <c r="H1751" t="n">
        <v>0.0111536096449268</v>
      </c>
      <c r="I1751" t="n">
        <v>0.6332149401259601</v>
      </c>
      <c r="J1751" t="n">
        <v>0.1315615423620449</v>
      </c>
      <c r="K1751" t="n">
        <v>0.1612879732401961</v>
      </c>
      <c r="L1751" t="b">
        <v>0</v>
      </c>
      <c r="M1751" t="b">
        <v>0</v>
      </c>
      <c r="N1751" t="inlineStr">
        <is>
          <t>alt</t>
        </is>
      </c>
      <c r="O1751" t="n">
        <v>35</v>
      </c>
      <c r="P1751" t="n">
        <v>0.002195</v>
      </c>
      <c r="Q1751" t="n">
        <v>70</v>
      </c>
      <c r="R1751" t="n">
        <v>0.3738</v>
      </c>
      <c r="S1751">
        <f>IMAGE("https://mitra.stanford.edu/kundaje/oak/projects/neuro-variants/variant_position/credible/roussos_2024/variant_figures/roussos_2024.infant.GLU/rs34416056_count_position.png",4,220,900)</f>
        <v/>
      </c>
      <c r="T1751">
        <f>IMAGE("https://mitra.stanford.edu/kundaje/oak/projects/neuro-variants/variant_position/credible/roussos_2024/variant_figures/roussos_2024.infant.GLU/rs34416056_profile_position.png",4,220,900)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0.22348162</v>
      </c>
      <c r="G1752" t="n">
        <v>0.0075342037842707</v>
      </c>
      <c r="H1752" t="n">
        <v>0.0369024246885217</v>
      </c>
      <c r="I1752" t="n">
        <v>0.0279562292019724</v>
      </c>
      <c r="J1752" t="n">
        <v>0.0130999360656098</v>
      </c>
      <c r="K1752" t="n">
        <v>0.6134837646861269</v>
      </c>
      <c r="L1752" t="b">
        <v>1</v>
      </c>
      <c r="M1752" t="b">
        <v>1</v>
      </c>
      <c r="N1752" t="inlineStr">
        <is>
          <t>alt</t>
        </is>
      </c>
      <c r="O1752" t="n">
        <v>-70</v>
      </c>
      <c r="P1752" t="n">
        <v>0.008880000000000001</v>
      </c>
      <c r="Q1752" t="n">
        <v>-90</v>
      </c>
      <c r="R1752" t="n">
        <v>0.03662</v>
      </c>
      <c r="S1752">
        <f>IMAGE("https://mitra.stanford.edu/kundaje/oak/projects/neuro-variants/variant_position/credible/roussos_2024/variant_figures/roussos_2024.infant.GLU/rs62055497_count_position.png",4,220,900)</f>
        <v/>
      </c>
      <c r="T1752">
        <f>IMAGE("https://mitra.stanford.edu/kundaje/oak/projects/neuro-variants/variant_position/credible/roussos_2024/variant_figures/roussos_2024.infant.GLU/rs62055497_profile_position.png",4,220,900)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0.0596791796</v>
      </c>
      <c r="G1753" t="n">
        <v>0.14827112515213</v>
      </c>
      <c r="H1753" t="n">
        <v>0.0206806707142054</v>
      </c>
      <c r="I1753" t="n">
        <v>0.1809656804564245</v>
      </c>
      <c r="J1753" t="n">
        <v>0.0374291761282214</v>
      </c>
      <c r="K1753" t="n">
        <v>0.4017639358748494</v>
      </c>
      <c r="L1753" t="b">
        <v>0</v>
      </c>
      <c r="M1753" t="b">
        <v>0</v>
      </c>
      <c r="N1753" t="inlineStr">
        <is>
          <t>alt</t>
        </is>
      </c>
      <c r="O1753" t="n">
        <v>75</v>
      </c>
      <c r="P1753" t="n">
        <v>0.00899</v>
      </c>
      <c r="Q1753" t="n">
        <v>100</v>
      </c>
      <c r="R1753" t="n">
        <v>0.12213</v>
      </c>
      <c r="S1753">
        <f>IMAGE("https://mitra.stanford.edu/kundaje/oak/projects/neuro-variants/variant_position/credible/roussos_2024/variant_figures/roussos_2024.infant.GLU/rs55905252_count_position.png",4,220,900)</f>
        <v/>
      </c>
      <c r="T1753">
        <f>IMAGE("https://mitra.stanford.edu/kundaje/oak/projects/neuro-variants/variant_position/credible/roussos_2024/variant_figures/roussos_2024.infant.GLU/rs55905252_profile_position.png",4,220,900)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0.0304093083999999</v>
      </c>
      <c r="G1754" t="n">
        <v>0.3082411875094245</v>
      </c>
      <c r="H1754" t="n">
        <v>0.0513942322482985</v>
      </c>
      <c r="I1754" t="n">
        <v>0.0067160801287039</v>
      </c>
      <c r="J1754" t="n">
        <v>0.0065499680328049</v>
      </c>
      <c r="K1754" t="n">
        <v>0.7188824365025483</v>
      </c>
      <c r="L1754" t="b">
        <v>0</v>
      </c>
      <c r="M1754" t="b">
        <v>0</v>
      </c>
      <c r="N1754" t="inlineStr">
        <is>
          <t>alt</t>
        </is>
      </c>
      <c r="O1754" t="n">
        <v>55</v>
      </c>
      <c r="P1754" t="n">
        <v>0.009889999999999999</v>
      </c>
      <c r="Q1754" t="n">
        <v>5</v>
      </c>
      <c r="R1754" t="n">
        <v>0.003204</v>
      </c>
      <c r="S1754">
        <f>IMAGE("https://mitra.stanford.edu/kundaje/oak/projects/neuro-variants/variant_position/credible/roussos_2024/variant_figures/roussos_2024.infant.GLU/rs55768605_count_position.png",4,220,900)</f>
        <v/>
      </c>
      <c r="T1754">
        <f>IMAGE("https://mitra.stanford.edu/kundaje/oak/projects/neuro-variants/variant_position/credible/roussos_2024/variant_figures/roussos_2024.infant.GLU/rs55768605_profile_position.png",4,220,900)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0.1560897279999999</v>
      </c>
      <c r="G1755" t="n">
        <v>0.0188802073586223</v>
      </c>
      <c r="H1755" t="n">
        <v>0.0215378915408786</v>
      </c>
      <c r="I1755" t="n">
        <v>0.1531488012739951</v>
      </c>
      <c r="J1755" t="n">
        <v>0.0145064926475451</v>
      </c>
      <c r="K1755" t="n">
        <v>0.6003379200401096</v>
      </c>
      <c r="L1755" t="b">
        <v>1</v>
      </c>
      <c r="M1755" t="b">
        <v>0</v>
      </c>
      <c r="N1755" t="inlineStr">
        <is>
          <t>alt</t>
        </is>
      </c>
      <c r="O1755" t="n">
        <v>-80</v>
      </c>
      <c r="P1755" t="n">
        <v>0.004684</v>
      </c>
      <c r="Q1755" t="n">
        <v>-35</v>
      </c>
      <c r="R1755" t="n">
        <v>0.0376</v>
      </c>
      <c r="S1755">
        <f>IMAGE("https://mitra.stanford.edu/kundaje/oak/projects/neuro-variants/variant_position/credible/roussos_2024/variant_figures/roussos_2024.infant.GLU/rs55975673_count_position.png",4,220,900)</f>
        <v/>
      </c>
      <c r="T1755">
        <f>IMAGE("https://mitra.stanford.edu/kundaje/oak/projects/neuro-variants/variant_position/credible/roussos_2024/variant_figures/roussos_2024.infant.GLU/rs55975673_profile_position.png",4,220,900)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0.0592332438</v>
      </c>
      <c r="G1756" t="n">
        <v>0.1393166286316633</v>
      </c>
      <c r="H1756" t="n">
        <v>0.0137356842861824</v>
      </c>
      <c r="I1756" t="n">
        <v>0.4300543551171394</v>
      </c>
      <c r="J1756" t="n">
        <v>0.0006051720716946</v>
      </c>
      <c r="K1756" t="n">
        <v>0.9373988764725742</v>
      </c>
      <c r="L1756" t="b">
        <v>0</v>
      </c>
      <c r="M1756" t="b">
        <v>0</v>
      </c>
      <c r="N1756" t="inlineStr">
        <is>
          <t>alt</t>
        </is>
      </c>
      <c r="O1756" t="n">
        <v>100</v>
      </c>
      <c r="P1756" t="n">
        <v>0.005447</v>
      </c>
      <c r="Q1756" t="n">
        <v>70</v>
      </c>
      <c r="R1756" t="n">
        <v>0.1028</v>
      </c>
      <c r="S1756">
        <f>IMAGE("https://mitra.stanford.edu/kundaje/oak/projects/neuro-variants/variant_position/credible/roussos_2024/variant_figures/roussos_2024.infant.GLU/rs56194412_count_position.png",4,220,900)</f>
        <v/>
      </c>
      <c r="T1756">
        <f>IMAGE("https://mitra.stanford.edu/kundaje/oak/projects/neuro-variants/variant_position/credible/roussos_2024/variant_figures/roussos_2024.infant.GLU/rs56194412_profile_position.png",4,220,900)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-0.0638403842</v>
      </c>
      <c r="G1757" t="n">
        <v>0.1157380920761002</v>
      </c>
      <c r="H1757" t="n">
        <v>0.0111588832009475</v>
      </c>
      <c r="I1757" t="n">
        <v>0.6275044008873235</v>
      </c>
      <c r="J1757" t="n">
        <v>0.0068486959589055</v>
      </c>
      <c r="K1757" t="n">
        <v>0.7099972477051782</v>
      </c>
      <c r="L1757" t="b">
        <v>0</v>
      </c>
      <c r="M1757" t="b">
        <v>0</v>
      </c>
      <c r="N1757" t="inlineStr">
        <is>
          <t>ref</t>
        </is>
      </c>
      <c r="O1757" t="n">
        <v>-100</v>
      </c>
      <c r="P1757" t="n">
        <v>0.004074</v>
      </c>
      <c r="Q1757" t="n">
        <v>-20</v>
      </c>
      <c r="R1757" t="n">
        <v>0.0391</v>
      </c>
      <c r="S1757">
        <f>IMAGE("https://mitra.stanford.edu/kundaje/oak/projects/neuro-variants/variant_position/credible/roussos_2024/variant_figures/roussos_2024.infant.GLU/rs77426526_count_position.png",4,220,900)</f>
        <v/>
      </c>
      <c r="T1757">
        <f>IMAGE("https://mitra.stanford.edu/kundaje/oak/projects/neuro-variants/variant_position/credible/roussos_2024/variant_figures/roussos_2024.infant.GLU/rs77426526_profile_position.png",4,220,900)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0.01175920178</v>
      </c>
      <c r="G1758" t="n">
        <v>0.5921829998060482</v>
      </c>
      <c r="H1758" t="n">
        <v>0.0246841679027577</v>
      </c>
      <c r="I1758" t="n">
        <v>0.1045912608763331</v>
      </c>
      <c r="J1758" t="n">
        <v>0.0026356401155227</v>
      </c>
      <c r="K1758" t="n">
        <v>0.8156260226252134</v>
      </c>
      <c r="L1758" t="b">
        <v>0</v>
      </c>
      <c r="M1758" t="b">
        <v>0</v>
      </c>
      <c r="N1758" t="inlineStr">
        <is>
          <t>alt</t>
        </is>
      </c>
      <c r="O1758" t="n">
        <v>100</v>
      </c>
      <c r="P1758" t="n">
        <v>0.03333</v>
      </c>
      <c r="Q1758" t="n">
        <v>-100</v>
      </c>
      <c r="R1758" t="n">
        <v>0.094</v>
      </c>
      <c r="S1758">
        <f>IMAGE("https://mitra.stanford.edu/kundaje/oak/projects/neuro-variants/variant_position/credible/roussos_2024/variant_figures/roussos_2024.infant.GLU/rs74863825_count_position.png",4,220,900)</f>
        <v/>
      </c>
      <c r="T1758">
        <f>IMAGE("https://mitra.stanford.edu/kundaje/oak/projects/neuro-variants/variant_position/credible/roussos_2024/variant_figures/roussos_2024.infant.GLU/rs74863825_profile_position.png",4,220,900)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0.058700198</v>
      </c>
      <c r="G1759" t="n">
        <v>0.1359870100455215</v>
      </c>
      <c r="H1759" t="n">
        <v>0.0217001893856938</v>
      </c>
      <c r="I1759" t="n">
        <v>0.1516227202947495</v>
      </c>
      <c r="J1759" t="n">
        <v>0.0003670715844705</v>
      </c>
      <c r="K1759" t="n">
        <v>0.9630932899972298</v>
      </c>
      <c r="L1759" t="b">
        <v>0</v>
      </c>
      <c r="M1759" t="b">
        <v>0</v>
      </c>
      <c r="N1759" t="inlineStr">
        <is>
          <t>alt</t>
        </is>
      </c>
      <c r="O1759" t="n">
        <v>-100</v>
      </c>
      <c r="P1759" t="n">
        <v>0.002697</v>
      </c>
      <c r="Q1759" t="n">
        <v>100</v>
      </c>
      <c r="R1759" t="n">
        <v>0.0623</v>
      </c>
      <c r="S1759">
        <f>IMAGE("https://mitra.stanford.edu/kundaje/oak/projects/neuro-variants/variant_position/credible/roussos_2024/variant_figures/roussos_2024.infant.GLU/rs62055552_count_position.png",4,220,900)</f>
        <v/>
      </c>
      <c r="T1759">
        <f>IMAGE("https://mitra.stanford.edu/kundaje/oak/projects/neuro-variants/variant_position/credible/roussos_2024/variant_figures/roussos_2024.infant.GLU/rs62055552_profile_position.png",4,220,900)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0.0396935471399999</v>
      </c>
      <c r="G1760" t="n">
        <v>0.241947096990263</v>
      </c>
      <c r="H1760" t="n">
        <v>0.0108587320839865</v>
      </c>
      <c r="I1760" t="n">
        <v>0.6386814150656684</v>
      </c>
      <c r="J1760" t="n">
        <v>0.010281311316387</v>
      </c>
      <c r="K1760" t="n">
        <v>0.670817239587117</v>
      </c>
      <c r="L1760" t="b">
        <v>0</v>
      </c>
      <c r="M1760" t="b">
        <v>0</v>
      </c>
      <c r="N1760" t="inlineStr">
        <is>
          <t>alt</t>
        </is>
      </c>
      <c r="O1760" t="n">
        <v>-95</v>
      </c>
      <c r="P1760" t="n">
        <v>0.009705</v>
      </c>
      <c r="Q1760" t="n">
        <v>100</v>
      </c>
      <c r="R1760" t="n">
        <v>0.06586</v>
      </c>
      <c r="S1760">
        <f>IMAGE("https://mitra.stanford.edu/kundaje/oak/projects/neuro-variants/variant_position/credible/roussos_2024/variant_figures/roussos_2024.infant.GLU/rs62055558_count_position.png",4,220,900)</f>
        <v/>
      </c>
      <c r="T1760">
        <f>IMAGE("https://mitra.stanford.edu/kundaje/oak/projects/neuro-variants/variant_position/credible/roussos_2024/variant_figures/roussos_2024.infant.GLU/rs62055558_profile_position.png",4,220,900)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0.01308294694</v>
      </c>
      <c r="G1761" t="n">
        <v>0.2608592292036582</v>
      </c>
      <c r="H1761" t="n">
        <v>0.0158724287152222</v>
      </c>
      <c r="I1761" t="n">
        <v>0.3179136788818177</v>
      </c>
      <c r="J1761" t="n">
        <v>0.052373288652748</v>
      </c>
      <c r="K1761" t="n">
        <v>0.3304864838525919</v>
      </c>
      <c r="L1761" t="b">
        <v>0</v>
      </c>
      <c r="M1761" t="b">
        <v>0</v>
      </c>
      <c r="N1761" t="inlineStr">
        <is>
          <t>alt</t>
        </is>
      </c>
      <c r="O1761" t="n">
        <v>80</v>
      </c>
      <c r="P1761" t="n">
        <v>0.007534</v>
      </c>
      <c r="Q1761" t="n">
        <v>75</v>
      </c>
      <c r="R1761" t="n">
        <v>0.1438</v>
      </c>
      <c r="S1761">
        <f>IMAGE("https://mitra.stanford.edu/kundaje/oak/projects/neuro-variants/variant_position/credible/roussos_2024/variant_figures/roussos_2024.infant.GLU/rs17691466_count_position.png",4,220,900)</f>
        <v/>
      </c>
      <c r="T1761">
        <f>IMAGE("https://mitra.stanford.edu/kundaje/oak/projects/neuro-variants/variant_position/credible/roussos_2024/variant_figures/roussos_2024.infant.GLU/rs17691466_profile_position.png",4,220,900)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-0.0054554928599999</v>
      </c>
      <c r="G1762" t="n">
        <v>0.7013097698681298</v>
      </c>
      <c r="H1762" t="n">
        <v>0.0317960779402578</v>
      </c>
      <c r="I1762" t="n">
        <v>0.0475494295999017</v>
      </c>
      <c r="J1762" t="n">
        <v>0.022446482506228</v>
      </c>
      <c r="K1762" t="n">
        <v>0.5113996172122784</v>
      </c>
      <c r="L1762" t="b">
        <v>0</v>
      </c>
      <c r="M1762" t="b">
        <v>0</v>
      </c>
      <c r="N1762" t="inlineStr">
        <is>
          <t>ref</t>
        </is>
      </c>
      <c r="O1762" t="n">
        <v>-100</v>
      </c>
      <c r="P1762" t="n">
        <v>0.01915</v>
      </c>
      <c r="Q1762" t="n">
        <v>100</v>
      </c>
      <c r="R1762" t="n">
        <v>0.2605</v>
      </c>
      <c r="S1762">
        <f>IMAGE("https://mitra.stanford.edu/kundaje/oak/projects/neuro-variants/variant_position/credible/roussos_2024/variant_figures/roussos_2024.infant.GLU/rs55960528_count_position.png",4,220,900)</f>
        <v/>
      </c>
      <c r="T1762">
        <f>IMAGE("https://mitra.stanford.edu/kundaje/oak/projects/neuro-variants/variant_position/credible/roussos_2024/variant_figures/roussos_2024.infant.GLU/rs55960528_profile_position.png",4,220,900)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0.01384027224486</v>
      </c>
      <c r="G1763" t="n">
        <v>0.56859969960552</v>
      </c>
      <c r="H1763" t="n">
        <v>0.0124992015611891</v>
      </c>
      <c r="I1763" t="n">
        <v>0.5224446851290637</v>
      </c>
      <c r="J1763" t="n">
        <v>0.0218038316541369</v>
      </c>
      <c r="K1763" t="n">
        <v>0.5177387308881575</v>
      </c>
      <c r="L1763" t="b">
        <v>0</v>
      </c>
      <c r="M1763" t="b">
        <v>0</v>
      </c>
      <c r="N1763" t="inlineStr">
        <is>
          <t>alt</t>
        </is>
      </c>
      <c r="O1763" t="n">
        <v>-50</v>
      </c>
      <c r="P1763" t="n">
        <v>0.008030000000000001</v>
      </c>
      <c r="Q1763" t="n">
        <v>75</v>
      </c>
      <c r="R1763" t="n">
        <v>0.02771</v>
      </c>
      <c r="S1763">
        <f>IMAGE("https://mitra.stanford.edu/kundaje/oak/projects/neuro-variants/variant_position/credible/roussos_2024/variant_figures/roussos_2024.infant.GLU/rs17691556_count_position.png",4,220,900)</f>
        <v/>
      </c>
      <c r="T1763">
        <f>IMAGE("https://mitra.stanford.edu/kundaje/oak/projects/neuro-variants/variant_position/credible/roussos_2024/variant_figures/roussos_2024.infant.GLU/rs17691556_profile_position.png",4,220,900)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0.00826550098</v>
      </c>
      <c r="G1764" t="n">
        <v>0.6388487801393563</v>
      </c>
      <c r="H1764" t="n">
        <v>0.041337209265047</v>
      </c>
      <c r="I1764" t="n">
        <v>0.017934008288512</v>
      </c>
      <c r="J1764" t="n">
        <v>0.0047708282810467</v>
      </c>
      <c r="K1764" t="n">
        <v>0.7548579800701124</v>
      </c>
      <c r="L1764" t="b">
        <v>0</v>
      </c>
      <c r="M1764" t="b">
        <v>0</v>
      </c>
      <c r="N1764" t="inlineStr">
        <is>
          <t>alt</t>
        </is>
      </c>
      <c r="O1764" t="n">
        <v>-100</v>
      </c>
      <c r="P1764" t="n">
        <v>0.008789999999999999</v>
      </c>
      <c r="Q1764" t="n">
        <v>-70</v>
      </c>
      <c r="R1764" t="n">
        <v>0.1105</v>
      </c>
      <c r="S1764">
        <f>IMAGE("https://mitra.stanford.edu/kundaje/oak/projects/neuro-variants/variant_position/credible/roussos_2024/variant_figures/roussos_2024.infant.GLU/rs78729125_count_position.png",4,220,900)</f>
        <v/>
      </c>
      <c r="T1764">
        <f>IMAGE("https://mitra.stanford.edu/kundaje/oak/projects/neuro-variants/variant_position/credible/roussos_2024/variant_figures/roussos_2024.infant.GLU/rs78729125_profile_position.png",4,220,900)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0.0148688727999999</v>
      </c>
      <c r="G1765" t="n">
        <v>0.4380456361565686</v>
      </c>
      <c r="H1765" t="n">
        <v>0.0315039719996742</v>
      </c>
      <c r="I1765" t="n">
        <v>0.0496184030543892</v>
      </c>
      <c r="J1765" t="n">
        <v>0.9797890165127096</v>
      </c>
      <c r="K1765" t="n">
        <v>0.0002143895236899</v>
      </c>
      <c r="L1765" t="b">
        <v>0</v>
      </c>
      <c r="M1765" t="b">
        <v>0</v>
      </c>
      <c r="N1765" t="inlineStr">
        <is>
          <t>alt</t>
        </is>
      </c>
      <c r="O1765" t="n">
        <v>-25</v>
      </c>
      <c r="P1765" t="n">
        <v>0.02307</v>
      </c>
      <c r="Q1765" t="n">
        <v>-25</v>
      </c>
      <c r="R1765" t="n">
        <v>0.1328</v>
      </c>
      <c r="S1765">
        <f>IMAGE("https://mitra.stanford.edu/kundaje/oak/projects/neuro-variants/variant_position/credible/roussos_2024/variant_figures/roussos_2024.infant.GLU/rs11575895_count_position.png",4,220,900)</f>
        <v/>
      </c>
      <c r="T1765">
        <f>IMAGE("https://mitra.stanford.edu/kundaje/oak/projects/neuro-variants/variant_position/credible/roussos_2024/variant_figures/roussos_2024.infant.GLU/rs11575895_profile_position.png",4,220,900)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0.137428908</v>
      </c>
      <c r="G1766" t="n">
        <v>0.0258742914831443</v>
      </c>
      <c r="H1766" t="n">
        <v>0.027363908850795</v>
      </c>
      <c r="I1766" t="n">
        <v>0.0774976309901253</v>
      </c>
      <c r="J1766" t="n">
        <v>0.8764831676183338</v>
      </c>
      <c r="K1766" t="n">
        <v>0.0044284387547076</v>
      </c>
      <c r="L1766" t="b">
        <v>0</v>
      </c>
      <c r="M1766" t="b">
        <v>0</v>
      </c>
      <c r="N1766" t="inlineStr">
        <is>
          <t>alt</t>
        </is>
      </c>
      <c r="O1766" t="n">
        <v>100</v>
      </c>
      <c r="P1766" t="n">
        <v>0.00925</v>
      </c>
      <c r="Q1766" t="n">
        <v>60</v>
      </c>
      <c r="R1766" t="n">
        <v>0.2253</v>
      </c>
      <c r="S1766">
        <f>IMAGE("https://mitra.stanford.edu/kundaje/oak/projects/neuro-variants/variant_position/credible/roussos_2024/variant_figures/roussos_2024.infant.GLU/rs62056781_count_position.png",4,220,900)</f>
        <v/>
      </c>
      <c r="T1766">
        <f>IMAGE("https://mitra.stanford.edu/kundaje/oak/projects/neuro-variants/variant_position/credible/roussos_2024/variant_figures/roussos_2024.infant.GLU/rs62056781_profile_position.png",4,220,900)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0.0964412596</v>
      </c>
      <c r="G1767" t="n">
        <v>0.0569250183668772</v>
      </c>
      <c r="H1767" t="n">
        <v>0.0361351744763915</v>
      </c>
      <c r="I1767" t="n">
        <v>0.0309910221390314</v>
      </c>
      <c r="J1767" t="n">
        <v>0.831783108093212</v>
      </c>
      <c r="K1767" t="n">
        <v>0.0066016110210636</v>
      </c>
      <c r="L1767" t="b">
        <v>0</v>
      </c>
      <c r="M1767" t="b">
        <v>0</v>
      </c>
      <c r="N1767" t="inlineStr">
        <is>
          <t>alt</t>
        </is>
      </c>
      <c r="O1767" t="n">
        <v>-60</v>
      </c>
      <c r="P1767" t="n">
        <v>0.01718</v>
      </c>
      <c r="Q1767" t="n">
        <v>-75</v>
      </c>
      <c r="R1767" t="n">
        <v>0.2228</v>
      </c>
      <c r="S1767">
        <f>IMAGE("https://mitra.stanford.edu/kundaje/oak/projects/neuro-variants/variant_position/credible/roussos_2024/variant_figures/roussos_2024.infant.GLU/rs62056782_count_position.png",4,220,900)</f>
        <v/>
      </c>
      <c r="T1767">
        <f>IMAGE("https://mitra.stanford.edu/kundaje/oak/projects/neuro-variants/variant_position/credible/roussos_2024/variant_figures/roussos_2024.infant.GLU/rs62056782_profile_position.png",4,220,900)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0.055460264</v>
      </c>
      <c r="G1768" t="n">
        <v>0.1538321685879353</v>
      </c>
      <c r="H1768" t="n">
        <v>0.0174974783198915</v>
      </c>
      <c r="I1768" t="n">
        <v>0.2596586796435027</v>
      </c>
      <c r="J1768" t="n">
        <v>0.81303159240724</v>
      </c>
      <c r="K1768" t="n">
        <v>0.0075449649512337</v>
      </c>
      <c r="L1768" t="b">
        <v>0</v>
      </c>
      <c r="M1768" t="b">
        <v>0</v>
      </c>
      <c r="N1768" t="inlineStr">
        <is>
          <t>alt</t>
        </is>
      </c>
      <c r="O1768" t="n">
        <v>80</v>
      </c>
      <c r="P1768" t="n">
        <v>0.002415</v>
      </c>
      <c r="Q1768" t="n">
        <v>30</v>
      </c>
      <c r="R1768" t="n">
        <v>0.1346</v>
      </c>
      <c r="S1768">
        <f>IMAGE("https://mitra.stanford.edu/kundaje/oak/projects/neuro-variants/variant_position/credible/roussos_2024/variant_figures/roussos_2024.infant.GLU/rs80346216_count_position.png",4,220,900)</f>
        <v/>
      </c>
      <c r="T1768">
        <f>IMAGE("https://mitra.stanford.edu/kundaje/oak/projects/neuro-variants/variant_position/credible/roussos_2024/variant_figures/roussos_2024.infant.GLU/rs80346216_profile_position.png",4,220,900)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-0.0288807806</v>
      </c>
      <c r="G1769" t="n">
        <v>0.3365084395040312</v>
      </c>
      <c r="H1769" t="n">
        <v>0.0153265597075181</v>
      </c>
      <c r="I1769" t="n">
        <v>0.346345215011564</v>
      </c>
      <c r="J1769" t="n">
        <v>0.796111025375339</v>
      </c>
      <c r="K1769" t="n">
        <v>0.008441266585678</v>
      </c>
      <c r="L1769" t="b">
        <v>0</v>
      </c>
      <c r="M1769" t="b">
        <v>0</v>
      </c>
      <c r="N1769" t="inlineStr">
        <is>
          <t>ref</t>
        </is>
      </c>
      <c r="O1769" t="n">
        <v>30</v>
      </c>
      <c r="P1769" t="n">
        <v>0.0003357</v>
      </c>
      <c r="Q1769" t="n">
        <v>-40</v>
      </c>
      <c r="R1769" t="n">
        <v>0.04276</v>
      </c>
      <c r="S1769">
        <f>IMAGE("https://mitra.stanford.edu/kundaje/oak/projects/neuro-variants/variant_position/credible/roussos_2024/variant_figures/roussos_2024.infant.GLU/rs62056783_count_position.png",4,220,900)</f>
        <v/>
      </c>
      <c r="T1769">
        <f>IMAGE("https://mitra.stanford.edu/kundaje/oak/projects/neuro-variants/variant_position/credible/roussos_2024/variant_figures/roussos_2024.infant.GLU/rs62056783_profile_position.png",4,220,900)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-0.0158751218</v>
      </c>
      <c r="G1770" t="n">
        <v>0.524153848466239</v>
      </c>
      <c r="H1770" t="n">
        <v>0.0099815142312183</v>
      </c>
      <c r="I1770" t="n">
        <v>0.7403687606157288</v>
      </c>
      <c r="J1770" t="n">
        <v>0.0585396503450251</v>
      </c>
      <c r="K1770" t="n">
        <v>0.3236604504140923</v>
      </c>
      <c r="L1770" t="b">
        <v>0</v>
      </c>
      <c r="M1770" t="b">
        <v>0</v>
      </c>
      <c r="N1770" t="inlineStr">
        <is>
          <t>ref</t>
        </is>
      </c>
      <c r="O1770" t="n">
        <v>-95</v>
      </c>
      <c r="P1770" t="n">
        <v>0.1182</v>
      </c>
      <c r="Q1770" t="n">
        <v>0</v>
      </c>
      <c r="R1770" t="n">
        <v>0</v>
      </c>
      <c r="S1770">
        <f>IMAGE("https://mitra.stanford.edu/kundaje/oak/projects/neuro-variants/variant_position/credible/roussos_2024/variant_figures/roussos_2024.infant.GLU/rs62056801_count_position.png",4,220,900)</f>
        <v/>
      </c>
      <c r="T1770">
        <f>IMAGE("https://mitra.stanford.edu/kundaje/oak/projects/neuro-variants/variant_position/credible/roussos_2024/variant_figures/roussos_2024.infant.GLU/rs62056801_profile_position.png",4,220,900)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0.0547157896999999</v>
      </c>
      <c r="G1771" t="n">
        <v>0.142277324930316</v>
      </c>
      <c r="H1771" t="n">
        <v>0.0138842676062815</v>
      </c>
      <c r="I1771" t="n">
        <v>0.422688475640964</v>
      </c>
      <c r="J1771" t="n">
        <v>0.2952567296457152</v>
      </c>
      <c r="K1771" t="n">
        <v>0.0715443633448038</v>
      </c>
      <c r="L1771" t="b">
        <v>0</v>
      </c>
      <c r="M1771" t="b">
        <v>0</v>
      </c>
      <c r="N1771" t="inlineStr">
        <is>
          <t>alt</t>
        </is>
      </c>
      <c r="O1771" t="n">
        <v>-100</v>
      </c>
      <c r="P1771" t="n">
        <v>0.02905</v>
      </c>
      <c r="Q1771" t="n">
        <v>-55</v>
      </c>
      <c r="R1771" t="n">
        <v>0.08203000000000001</v>
      </c>
      <c r="S1771">
        <f>IMAGE("https://mitra.stanford.edu/kundaje/oak/projects/neuro-variants/variant_position/credible/roussos_2024/variant_figures/roussos_2024.infant.GLU/rs1984937_count_position.png",4,220,900)</f>
        <v/>
      </c>
      <c r="T1771">
        <f>IMAGE("https://mitra.stanford.edu/kundaje/oak/projects/neuro-variants/variant_position/credible/roussos_2024/variant_figures/roussos_2024.infant.GLU/rs1984937_profile_position.png",4,220,900)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-0.08213361059999991</v>
      </c>
      <c r="G1772" t="n">
        <v>0.0778137866028675</v>
      </c>
      <c r="H1772" t="n">
        <v>0.0188142233562488</v>
      </c>
      <c r="I1772" t="n">
        <v>0.2152915373303386</v>
      </c>
      <c r="J1772" t="n">
        <v>0.7735851760400362</v>
      </c>
      <c r="K1772" t="n">
        <v>0.009810749640625499</v>
      </c>
      <c r="L1772" t="b">
        <v>0</v>
      </c>
      <c r="M1772" t="b">
        <v>0</v>
      </c>
      <c r="N1772" t="inlineStr">
        <is>
          <t>ref</t>
        </is>
      </c>
      <c r="O1772" t="n">
        <v>-75</v>
      </c>
      <c r="P1772" t="n">
        <v>0.008970000000000001</v>
      </c>
      <c r="Q1772" t="n">
        <v>-10</v>
      </c>
      <c r="R1772" t="n">
        <v>0.01709</v>
      </c>
      <c r="S1772">
        <f>IMAGE("https://mitra.stanford.edu/kundaje/oak/projects/neuro-variants/variant_position/credible/roussos_2024/variant_figures/roussos_2024.infant.GLU/rs74509629_count_position.png",4,220,900)</f>
        <v/>
      </c>
      <c r="T1772">
        <f>IMAGE("https://mitra.stanford.edu/kundaje/oak/projects/neuro-variants/variant_position/credible/roussos_2024/variant_figures/roussos_2024.infant.GLU/rs74509629_profile_position.png",4,220,900)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0.06948648859999999</v>
      </c>
      <c r="G1773" t="n">
        <v>0.0975520973545808</v>
      </c>
      <c r="H1773" t="n">
        <v>0.0141619716977551</v>
      </c>
      <c r="I1773" t="n">
        <v>0.4115563614794413</v>
      </c>
      <c r="J1773" t="n">
        <v>0.0312980885821997</v>
      </c>
      <c r="K1773" t="n">
        <v>0.4433018886001544</v>
      </c>
      <c r="L1773" t="b">
        <v>0</v>
      </c>
      <c r="M1773" t="b">
        <v>0</v>
      </c>
      <c r="N1773" t="inlineStr">
        <is>
          <t>alt</t>
        </is>
      </c>
      <c r="O1773" t="n">
        <v>5</v>
      </c>
      <c r="P1773" t="n">
        <v>0.001038</v>
      </c>
      <c r="Q1773" t="n">
        <v>-30</v>
      </c>
      <c r="R1773" t="n">
        <v>0.01862</v>
      </c>
      <c r="S1773">
        <f>IMAGE("https://mitra.stanford.edu/kundaje/oak/projects/neuro-variants/variant_position/credible/roussos_2024/variant_figures/roussos_2024.infant.GLU/rs62056838_count_position.png",4,220,900)</f>
        <v/>
      </c>
      <c r="T1773">
        <f>IMAGE("https://mitra.stanford.edu/kundaje/oak/projects/neuro-variants/variant_position/credible/roussos_2024/variant_figures/roussos_2024.infant.GLU/rs62056838_profile_position.png",4,220,900)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0.01604569882</v>
      </c>
      <c r="G1774" t="n">
        <v>0.5094334909898223</v>
      </c>
      <c r="H1774" t="n">
        <v>0.0102094877345737</v>
      </c>
      <c r="I1774" t="n">
        <v>0.6795350357683039</v>
      </c>
      <c r="J1774" t="n">
        <v>0.07859190017416599</v>
      </c>
      <c r="K1774" t="n">
        <v>0.2529775878153346</v>
      </c>
      <c r="L1774" t="b">
        <v>0</v>
      </c>
      <c r="M1774" t="b">
        <v>0</v>
      </c>
      <c r="N1774" t="inlineStr">
        <is>
          <t>alt</t>
        </is>
      </c>
      <c r="O1774" t="n">
        <v>-10</v>
      </c>
      <c r="P1774" t="n">
        <v>0.0021</v>
      </c>
      <c r="Q1774" t="n">
        <v>90</v>
      </c>
      <c r="R1774" t="n">
        <v>0.1313</v>
      </c>
      <c r="S1774">
        <f>IMAGE("https://mitra.stanford.edu/kundaje/oak/projects/neuro-variants/variant_position/credible/roussos_2024/variant_figures/roussos_2024.infant.GLU/rs17564020_count_position.png",4,220,900)</f>
        <v/>
      </c>
      <c r="T1774">
        <f>IMAGE("https://mitra.stanford.edu/kundaje/oak/projects/neuro-variants/variant_position/credible/roussos_2024/variant_figures/roussos_2024.infant.GLU/rs17564020_profile_position.png",4,220,900)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0.00724069272</v>
      </c>
      <c r="G1775" t="n">
        <v>0.6818679927451586</v>
      </c>
      <c r="H1775" t="n">
        <v>0.0083743063744971</v>
      </c>
      <c r="I1775" t="n">
        <v>0.871585528353881</v>
      </c>
      <c r="J1775" t="n">
        <v>0.1056559888886438</v>
      </c>
      <c r="K1775" t="n">
        <v>0.2010638502732454</v>
      </c>
      <c r="L1775" t="b">
        <v>0</v>
      </c>
      <c r="M1775" t="b">
        <v>0</v>
      </c>
      <c r="N1775" t="inlineStr">
        <is>
          <t>alt</t>
        </is>
      </c>
      <c r="O1775" t="n">
        <v>95</v>
      </c>
      <c r="P1775" t="n">
        <v>0.1098</v>
      </c>
      <c r="Q1775" t="n">
        <v>-15</v>
      </c>
      <c r="R1775" t="n">
        <v>0.02698</v>
      </c>
      <c r="S1775">
        <f>IMAGE("https://mitra.stanford.edu/kundaje/oak/projects/neuro-variants/variant_position/credible/roussos_2024/variant_figures/roussos_2024.infant.GLU/rs55682376_count_position.png",4,220,900)</f>
        <v/>
      </c>
      <c r="T1775">
        <f>IMAGE("https://mitra.stanford.edu/kundaje/oak/projects/neuro-variants/variant_position/credible/roussos_2024/variant_figures/roussos_2024.infant.GLU/rs55682376_profile_position.png",4,220,900)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-0.0275850573</v>
      </c>
      <c r="G1776" t="n">
        <v>0.3288929290973828</v>
      </c>
      <c r="H1776" t="n">
        <v>0.0126526564430108</v>
      </c>
      <c r="I1776" t="n">
        <v>0.506336840240184</v>
      </c>
      <c r="J1776" t="n">
        <v>0.4001223571948235</v>
      </c>
      <c r="K1776" t="n">
        <v>0.0454593843564618</v>
      </c>
      <c r="L1776" t="b">
        <v>0</v>
      </c>
      <c r="M1776" t="b">
        <v>0</v>
      </c>
      <c r="N1776" t="inlineStr">
        <is>
          <t>ref</t>
        </is>
      </c>
      <c r="O1776" t="n">
        <v>-20</v>
      </c>
      <c r="P1776" t="n">
        <v>0.001274</v>
      </c>
      <c r="Q1776" t="n">
        <v>30</v>
      </c>
      <c r="R1776" t="n">
        <v>0.02979</v>
      </c>
      <c r="S1776">
        <f>IMAGE("https://mitra.stanford.edu/kundaje/oak/projects/neuro-variants/variant_position/credible/roussos_2024/variant_figures/roussos_2024.infant.GLU/rs62056848_count_position.png",4,220,900)</f>
        <v/>
      </c>
      <c r="T1776">
        <f>IMAGE("https://mitra.stanford.edu/kundaje/oak/projects/neuro-variants/variant_position/credible/roussos_2024/variant_figures/roussos_2024.infant.GLU/rs62056848_profile_position.png",4,220,900)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0.0760877678</v>
      </c>
      <c r="G1777" t="n">
        <v>0.08220298442568751</v>
      </c>
      <c r="H1777" t="n">
        <v>0.0171039456659368</v>
      </c>
      <c r="I1777" t="n">
        <v>0.2711211818620891</v>
      </c>
      <c r="J1777" t="n">
        <v>0.4406556581935228</v>
      </c>
      <c r="K1777" t="n">
        <v>0.0387127044208178</v>
      </c>
      <c r="L1777" t="b">
        <v>0</v>
      </c>
      <c r="M1777" t="b">
        <v>0</v>
      </c>
      <c r="N1777" t="inlineStr">
        <is>
          <t>alt</t>
        </is>
      </c>
      <c r="O1777" t="n">
        <v>-75</v>
      </c>
      <c r="P1777" t="n">
        <v>0.002457</v>
      </c>
      <c r="Q1777" t="n">
        <v>25</v>
      </c>
      <c r="R1777" t="n">
        <v>0.014404</v>
      </c>
      <c r="S1777">
        <f>IMAGE("https://mitra.stanford.edu/kundaje/oak/projects/neuro-variants/variant_position/credible/roussos_2024/variant_figures/roussos_2024.infant.GLU/rs62056849_count_position.png",4,220,900)</f>
        <v/>
      </c>
      <c r="T1777">
        <f>IMAGE("https://mitra.stanford.edu/kundaje/oak/projects/neuro-variants/variant_position/credible/roussos_2024/variant_figures/roussos_2024.infant.GLU/rs62056849_profile_position.png",4,220,900)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0.00312415208</v>
      </c>
      <c r="G1778" t="n">
        <v>0.8237737013474994</v>
      </c>
      <c r="H1778" t="n">
        <v>0.0071565535286113</v>
      </c>
      <c r="I1778" t="n">
        <v>0.9581629387371612</v>
      </c>
      <c r="J1778" t="n">
        <v>0.0159935183756255</v>
      </c>
      <c r="K1778" t="n">
        <v>0.5764836633461971</v>
      </c>
      <c r="L1778" t="b">
        <v>0</v>
      </c>
      <c r="M1778" t="b">
        <v>0</v>
      </c>
      <c r="N1778" t="inlineStr">
        <is>
          <t>alt</t>
        </is>
      </c>
      <c r="O1778" t="n">
        <v>30</v>
      </c>
      <c r="P1778" t="n">
        <v>0.00911</v>
      </c>
      <c r="Q1778" t="n">
        <v>70</v>
      </c>
      <c r="R1778" t="n">
        <v>0.0577</v>
      </c>
      <c r="S1778">
        <f>IMAGE("https://mitra.stanford.edu/kundaje/oak/projects/neuro-variants/variant_position/credible/roussos_2024/variant_figures/roussos_2024.infant.GLU/rs17649700_count_position.png",4,220,900)</f>
        <v/>
      </c>
      <c r="T1778">
        <f>IMAGE("https://mitra.stanford.edu/kundaje/oak/projects/neuro-variants/variant_position/credible/roussos_2024/variant_figures/roussos_2024.infant.GLU/rs17649700_profile_position.png",4,220,900)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0.0308559263999999</v>
      </c>
      <c r="G1779" t="n">
        <v>0.3420801717109931</v>
      </c>
      <c r="H1779" t="n">
        <v>0.0331209635376173</v>
      </c>
      <c r="I1779" t="n">
        <v>0.043608503248841</v>
      </c>
      <c r="J1779" t="n">
        <v>0.0213188121431248</v>
      </c>
      <c r="K1779" t="n">
        <v>0.5270036077559955</v>
      </c>
      <c r="L1779" t="b">
        <v>0</v>
      </c>
      <c r="M1779" t="b">
        <v>0</v>
      </c>
      <c r="N1779" t="inlineStr">
        <is>
          <t>alt</t>
        </is>
      </c>
      <c r="O1779" t="n">
        <v>80</v>
      </c>
      <c r="P1779" t="n">
        <v>0.011475</v>
      </c>
      <c r="Q1779" t="n">
        <v>65</v>
      </c>
      <c r="R1779" t="n">
        <v>0.03406</v>
      </c>
      <c r="S1779">
        <f>IMAGE("https://mitra.stanford.edu/kundaje/oak/projects/neuro-variants/variant_position/credible/roussos_2024/variant_figures/roussos_2024.infant.GLU/rs8079501_count_position.png",4,220,900)</f>
        <v/>
      </c>
      <c r="T1779">
        <f>IMAGE("https://mitra.stanford.edu/kundaje/oak/projects/neuro-variants/variant_position/credible/roussos_2024/variant_figures/roussos_2024.infant.GLU/rs8079501_profile_position.png",4,220,900)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0.0117053831</v>
      </c>
      <c r="G1780" t="n">
        <v>0.602130470405477</v>
      </c>
      <c r="H1780" t="n">
        <v>0.009247425598500799</v>
      </c>
      <c r="I1780" t="n">
        <v>0.8128510507699394</v>
      </c>
      <c r="J1780" t="n">
        <v>0.1195484909279304</v>
      </c>
      <c r="K1780" t="n">
        <v>0.1795696422981844</v>
      </c>
      <c r="L1780" t="b">
        <v>0</v>
      </c>
      <c r="M1780" t="b">
        <v>0</v>
      </c>
      <c r="N1780" t="inlineStr">
        <is>
          <t>alt</t>
        </is>
      </c>
      <c r="O1780" t="n">
        <v>25</v>
      </c>
      <c r="P1780" t="n">
        <v>0.00438</v>
      </c>
      <c r="Q1780" t="n">
        <v>-40</v>
      </c>
      <c r="R1780" t="n">
        <v>0.05795</v>
      </c>
      <c r="S1780">
        <f>IMAGE("https://mitra.stanford.edu/kundaje/oak/projects/neuro-variants/variant_position/credible/roussos_2024/variant_figures/roussos_2024.infant.GLU/rs55685451_count_position.png",4,220,900)</f>
        <v/>
      </c>
      <c r="T1780">
        <f>IMAGE("https://mitra.stanford.edu/kundaje/oak/projects/neuro-variants/variant_position/credible/roussos_2024/variant_figures/roussos_2024.infant.GLU/rs55685451_profile_position.png",4,220,900)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-0.03778519936</v>
      </c>
      <c r="G1781" t="n">
        <v>0.2601588085625082</v>
      </c>
      <c r="H1781" t="n">
        <v>0.018020866490859</v>
      </c>
      <c r="I1781" t="n">
        <v>0.2385302001134164</v>
      </c>
      <c r="J1781" t="n">
        <v>0.0150576511827861</v>
      </c>
      <c r="K1781" t="n">
        <v>0.5995754625903748</v>
      </c>
      <c r="L1781" t="b">
        <v>0</v>
      </c>
      <c r="M1781" t="b">
        <v>0</v>
      </c>
      <c r="N1781" t="inlineStr">
        <is>
          <t>ref</t>
        </is>
      </c>
      <c r="O1781" t="n">
        <v>-85</v>
      </c>
      <c r="P1781" t="n">
        <v>0.01538</v>
      </c>
      <c r="Q1781" t="n">
        <v>-65</v>
      </c>
      <c r="R1781" t="n">
        <v>0.01404</v>
      </c>
      <c r="S1781">
        <f>IMAGE("https://mitra.stanford.edu/kundaje/oak/projects/neuro-variants/variant_position/credible/roussos_2024/variant_figures/roussos_2024.infant.GLU/rs17564780_count_position.png",4,220,900)</f>
        <v/>
      </c>
      <c r="T1781">
        <f>IMAGE("https://mitra.stanford.edu/kundaje/oak/projects/neuro-variants/variant_position/credible/roussos_2024/variant_figures/roussos_2024.infant.GLU/rs17564780_profile_position.png",4,220,900)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0.0496944324</v>
      </c>
      <c r="G1782" t="n">
        <v>0.1628373179035132</v>
      </c>
      <c r="H1782" t="n">
        <v>0.0507952338862175</v>
      </c>
      <c r="I1782" t="n">
        <v>0.0070474533852464</v>
      </c>
      <c r="J1782" t="n">
        <v>0.0295398928547807</v>
      </c>
      <c r="K1782" t="n">
        <v>0.4644970883499743</v>
      </c>
      <c r="L1782" t="b">
        <v>1</v>
      </c>
      <c r="M1782" t="b">
        <v>0</v>
      </c>
      <c r="N1782" t="inlineStr">
        <is>
          <t>alt</t>
        </is>
      </c>
      <c r="O1782" t="n">
        <v>100</v>
      </c>
      <c r="P1782" t="n">
        <v>0.007202</v>
      </c>
      <c r="Q1782" t="n">
        <v>-35</v>
      </c>
      <c r="R1782" t="n">
        <v>0.08716</v>
      </c>
      <c r="S1782">
        <f>IMAGE("https://mitra.stanford.edu/kundaje/oak/projects/neuro-variants/variant_position/credible/roussos_2024/variant_figures/roussos_2024.infant.GLU/rs62061714_count_position.png",4,220,900)</f>
        <v/>
      </c>
      <c r="T1782">
        <f>IMAGE("https://mitra.stanford.edu/kundaje/oak/projects/neuro-variants/variant_position/credible/roussos_2024/variant_figures/roussos_2024.infant.GLU/rs62061714_profile_position.png",4,220,900)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0.00228184316</v>
      </c>
      <c r="G1783" t="n">
        <v>0.8216767918443868</v>
      </c>
      <c r="H1783" t="n">
        <v>0.0077853264315916</v>
      </c>
      <c r="I1783" t="n">
        <v>0.9114613789157588</v>
      </c>
      <c r="J1783" t="n">
        <v>0.3967272206177384</v>
      </c>
      <c r="K1783" t="n">
        <v>0.0457586115324168</v>
      </c>
      <c r="L1783" t="b">
        <v>0</v>
      </c>
      <c r="M1783" t="b">
        <v>0</v>
      </c>
      <c r="N1783" t="inlineStr">
        <is>
          <t>alt</t>
        </is>
      </c>
      <c r="O1783" t="n">
        <v>-100</v>
      </c>
      <c r="P1783" t="n">
        <v>0.03766</v>
      </c>
      <c r="Q1783" t="n">
        <v>-100</v>
      </c>
      <c r="R1783" t="n">
        <v>0.3135</v>
      </c>
      <c r="S1783">
        <f>IMAGE("https://mitra.stanford.edu/kundaje/oak/projects/neuro-variants/variant_position/credible/roussos_2024/variant_figures/roussos_2024.infant.GLU/rs62061716_count_position.png",4,220,900)</f>
        <v/>
      </c>
      <c r="T1783">
        <f>IMAGE("https://mitra.stanford.edu/kundaje/oak/projects/neuro-variants/variant_position/credible/roussos_2024/variant_figures/roussos_2024.infant.GLU/rs62061716_profile_position.png",4,220,900)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0.077340383</v>
      </c>
      <c r="G1784" t="n">
        <v>0.0806595267686768</v>
      </c>
      <c r="H1784" t="n">
        <v>0.0148828012975125</v>
      </c>
      <c r="I1784" t="n">
        <v>0.3684098134046513</v>
      </c>
      <c r="J1784" t="n">
        <v>0.1200125664146034</v>
      </c>
      <c r="K1784" t="n">
        <v>0.1828844527860204</v>
      </c>
      <c r="L1784" t="b">
        <v>0</v>
      </c>
      <c r="M1784" t="b">
        <v>0</v>
      </c>
      <c r="N1784" t="inlineStr">
        <is>
          <t>alt</t>
        </is>
      </c>
      <c r="O1784" t="n">
        <v>-65</v>
      </c>
      <c r="P1784" t="n">
        <v>0.012344</v>
      </c>
      <c r="Q1784" t="n">
        <v>-65</v>
      </c>
      <c r="R1784" t="n">
        <v>0.0784</v>
      </c>
      <c r="S1784">
        <f>IMAGE("https://mitra.stanford.edu/kundaje/oak/projects/neuro-variants/variant_position/credible/roussos_2024/variant_figures/roussos_2024.infant.GLU/rs77924424_count_position.png",4,220,900)</f>
        <v/>
      </c>
      <c r="T1784">
        <f>IMAGE("https://mitra.stanford.edu/kundaje/oak/projects/neuro-variants/variant_position/credible/roussos_2024/variant_figures/roussos_2024.infant.GLU/rs77924424_profile_position.png",4,220,900)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0.1163965849999999</v>
      </c>
      <c r="G1785" t="n">
        <v>0.0407354790809714</v>
      </c>
      <c r="H1785" t="n">
        <v>0.0389488647479564</v>
      </c>
      <c r="I1785" t="n">
        <v>0.022927105309358</v>
      </c>
      <c r="J1785" t="n">
        <v>0.0637216428933618</v>
      </c>
      <c r="K1785" t="n">
        <v>0.2958002146794059</v>
      </c>
      <c r="L1785" t="b">
        <v>0</v>
      </c>
      <c r="M1785" t="b">
        <v>0</v>
      </c>
      <c r="N1785" t="inlineStr">
        <is>
          <t>alt</t>
        </is>
      </c>
      <c r="O1785" t="n">
        <v>95</v>
      </c>
      <c r="P1785" t="n">
        <v>0.00882</v>
      </c>
      <c r="Q1785" t="n">
        <v>60</v>
      </c>
      <c r="R1785" t="n">
        <v>0.03442</v>
      </c>
      <c r="S1785">
        <f>IMAGE("https://mitra.stanford.edu/kundaje/oak/projects/neuro-variants/variant_position/credible/roussos_2024/variant_figures/roussos_2024.infant.GLU/rs62061720_count_position.png",4,220,900)</f>
        <v/>
      </c>
      <c r="T1785">
        <f>IMAGE("https://mitra.stanford.edu/kundaje/oak/projects/neuro-variants/variant_position/credible/roussos_2024/variant_figures/roussos_2024.infant.GLU/rs62061720_profile_position.png",4,220,900)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0.01897904626</v>
      </c>
      <c r="G1786" t="n">
        <v>0.4502027791717331</v>
      </c>
      <c r="H1786" t="n">
        <v>0.021951528546362</v>
      </c>
      <c r="I1786" t="n">
        <v>0.1452226399856555</v>
      </c>
      <c r="J1786" t="n">
        <v>0.064108556185101</v>
      </c>
      <c r="K1786" t="n">
        <v>0.3039904401116685</v>
      </c>
      <c r="L1786" t="b">
        <v>0</v>
      </c>
      <c r="M1786" t="b">
        <v>0</v>
      </c>
      <c r="N1786" t="inlineStr">
        <is>
          <t>alt</t>
        </is>
      </c>
      <c r="O1786" t="n">
        <v>-40</v>
      </c>
      <c r="P1786" t="n">
        <v>0.00705</v>
      </c>
      <c r="Q1786" t="n">
        <v>-95</v>
      </c>
      <c r="R1786" t="n">
        <v>0.02774</v>
      </c>
      <c r="S1786">
        <f>IMAGE("https://mitra.stanford.edu/kundaje/oak/projects/neuro-variants/variant_position/credible/roussos_2024/variant_figures/roussos_2024.infant.GLU/rs12150460_count_position.png",4,220,900)</f>
        <v/>
      </c>
      <c r="T1786">
        <f>IMAGE("https://mitra.stanford.edu/kundaje/oak/projects/neuro-variants/variant_position/credible/roussos_2024/variant_figures/roussos_2024.infant.GLU/rs12150460_profile_position.png",4,220,900)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0.0260804029999999</v>
      </c>
      <c r="G1787" t="n">
        <v>0.3797519920728284</v>
      </c>
      <c r="H1787" t="n">
        <v>0.0200882764462875</v>
      </c>
      <c r="I1787" t="n">
        <v>0.1888402356117355</v>
      </c>
      <c r="J1787" t="n">
        <v>0.0472927092748957</v>
      </c>
      <c r="K1787" t="n">
        <v>0.351366024921273</v>
      </c>
      <c r="L1787" t="b">
        <v>0</v>
      </c>
      <c r="M1787" t="b">
        <v>0</v>
      </c>
      <c r="N1787" t="inlineStr">
        <is>
          <t>alt</t>
        </is>
      </c>
      <c r="O1787" t="n">
        <v>85</v>
      </c>
      <c r="P1787" t="n">
        <v>0.03378</v>
      </c>
      <c r="Q1787" t="n">
        <v>100</v>
      </c>
      <c r="R1787" t="n">
        <v>0.067</v>
      </c>
      <c r="S1787">
        <f>IMAGE("https://mitra.stanford.edu/kundaje/oak/projects/neuro-variants/variant_position/credible/roussos_2024/variant_figures/roussos_2024.infant.GLU/rs62061732_count_position.png",4,220,900)</f>
        <v/>
      </c>
      <c r="T1787">
        <f>IMAGE("https://mitra.stanford.edu/kundaje/oak/projects/neuro-variants/variant_position/credible/roussos_2024/variant_figures/roussos_2024.infant.GLU/rs62061732_profile_position.png",4,220,900)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-0.1338372139999999</v>
      </c>
      <c r="G1788" t="n">
        <v>0.0285005249745381</v>
      </c>
      <c r="H1788" t="n">
        <v>0.04046265679814</v>
      </c>
      <c r="I1788" t="n">
        <v>0.0194426523447898</v>
      </c>
      <c r="J1788" t="n">
        <v>0.0846281884521263</v>
      </c>
      <c r="K1788" t="n">
        <v>0.2391201791283272</v>
      </c>
      <c r="L1788" t="b">
        <v>1</v>
      </c>
      <c r="M1788" t="b">
        <v>0</v>
      </c>
      <c r="N1788" t="inlineStr">
        <is>
          <t>ref</t>
        </is>
      </c>
      <c r="O1788" t="n">
        <v>100</v>
      </c>
      <c r="P1788" t="n">
        <v>0.1364</v>
      </c>
      <c r="Q1788" t="n">
        <v>80</v>
      </c>
      <c r="R1788" t="n">
        <v>0.0742</v>
      </c>
      <c r="S1788">
        <f>IMAGE("https://mitra.stanford.edu/kundaje/oak/projects/neuro-variants/variant_position/credible/roussos_2024/variant_figures/roussos_2024.infant.GLU/rs62061733_count_position.png",4,220,900)</f>
        <v/>
      </c>
      <c r="T1788">
        <f>IMAGE("https://mitra.stanford.edu/kundaje/oak/projects/neuro-variants/variant_position/credible/roussos_2024/variant_figures/roussos_2024.infant.GLU/rs62061733_profile_position.png",4,220,900)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0.01060502112</v>
      </c>
      <c r="G1789" t="n">
        <v>0.6141791906513043</v>
      </c>
      <c r="H1789" t="n">
        <v>0.0116249197957653</v>
      </c>
      <c r="I1789" t="n">
        <v>0.5932522474004894</v>
      </c>
      <c r="J1789" t="n">
        <v>0.0563328115699199</v>
      </c>
      <c r="K1789" t="n">
        <v>0.3151557406582344</v>
      </c>
      <c r="L1789" t="b">
        <v>0</v>
      </c>
      <c r="M1789" t="b">
        <v>0</v>
      </c>
      <c r="N1789" t="inlineStr">
        <is>
          <t>alt</t>
        </is>
      </c>
      <c r="O1789" t="n">
        <v>5</v>
      </c>
      <c r="P1789" t="n">
        <v>0.001205</v>
      </c>
      <c r="Q1789" t="n">
        <v>100</v>
      </c>
      <c r="R1789" t="n">
        <v>0.06322999999999999</v>
      </c>
      <c r="S1789">
        <f>IMAGE("https://mitra.stanford.edu/kundaje/oak/projects/neuro-variants/variant_position/credible/roussos_2024/variant_figures/roussos_2024.infant.GLU/rs62062770_count_position.png",4,220,900)</f>
        <v/>
      </c>
      <c r="T1789">
        <f>IMAGE("https://mitra.stanford.edu/kundaje/oak/projects/neuro-variants/variant_position/credible/roussos_2024/variant_figures/roussos_2024.infant.GLU/rs62062770_profile_position.png",4,220,900)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0.0046798376399999</v>
      </c>
      <c r="G1790" t="n">
        <v>0.7893639537965612</v>
      </c>
      <c r="H1790" t="n">
        <v>0.0070777206954544</v>
      </c>
      <c r="I1790" t="n">
        <v>0.9389473521903428</v>
      </c>
      <c r="J1790" t="n">
        <v>0.0351308450362661</v>
      </c>
      <c r="K1790" t="n">
        <v>0.4180611318007111</v>
      </c>
      <c r="L1790" t="b">
        <v>0</v>
      </c>
      <c r="M1790" t="b">
        <v>0</v>
      </c>
      <c r="N1790" t="inlineStr">
        <is>
          <t>alt</t>
        </is>
      </c>
      <c r="O1790" t="n">
        <v>-95</v>
      </c>
      <c r="P1790" t="n">
        <v>0.02155</v>
      </c>
      <c r="Q1790" t="n">
        <v>10</v>
      </c>
      <c r="R1790" t="n">
        <v>0.008970000000000001</v>
      </c>
      <c r="S1790">
        <f>IMAGE("https://mitra.stanford.edu/kundaje/oak/projects/neuro-variants/variant_position/credible/roussos_2024/variant_figures/roussos_2024.infant.GLU/rs62062772_count_position.png",4,220,900)</f>
        <v/>
      </c>
      <c r="T1790">
        <f>IMAGE("https://mitra.stanford.edu/kundaje/oak/projects/neuro-variants/variant_position/credible/roussos_2024/variant_figures/roussos_2024.infant.GLU/rs62062772_profile_position.png",4,220,900)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-0.089118058</v>
      </c>
      <c r="G1791" t="n">
        <v>0.0665953162042601</v>
      </c>
      <c r="H1791" t="n">
        <v>0.013176018059315</v>
      </c>
      <c r="I1791" t="n">
        <v>0.4623771448521701</v>
      </c>
      <c r="J1791" t="n">
        <v>0.1180118609316783</v>
      </c>
      <c r="K1791" t="n">
        <v>0.188076471441704</v>
      </c>
      <c r="L1791" t="b">
        <v>0</v>
      </c>
      <c r="M1791" t="b">
        <v>0</v>
      </c>
      <c r="N1791" t="inlineStr">
        <is>
          <t>ref</t>
        </is>
      </c>
      <c r="O1791" t="n">
        <v>-80</v>
      </c>
      <c r="P1791" t="n">
        <v>0.004528</v>
      </c>
      <c r="Q1791" t="n">
        <v>40</v>
      </c>
      <c r="R1791" t="n">
        <v>0.0968</v>
      </c>
      <c r="S1791">
        <f>IMAGE("https://mitra.stanford.edu/kundaje/oak/projects/neuro-variants/variant_position/credible/roussos_2024/variant_figures/roussos_2024.infant.GLU/rs75839508_count_position.png",4,220,900)</f>
        <v/>
      </c>
      <c r="T1791">
        <f>IMAGE("https://mitra.stanford.edu/kundaje/oak/projects/neuro-variants/variant_position/credible/roussos_2024/variant_figures/roussos_2024.infant.GLU/rs75839508_profile_position.png",4,220,900)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-0.0178389226</v>
      </c>
      <c r="G1792" t="n">
        <v>0.3501701999264702</v>
      </c>
      <c r="H1792" t="n">
        <v>0.010927825529465</v>
      </c>
      <c r="I1792" t="n">
        <v>0.6526304041081165</v>
      </c>
      <c r="J1792" t="n">
        <v>0.0942988161114662</v>
      </c>
      <c r="K1792" t="n">
        <v>0.2214868015024133</v>
      </c>
      <c r="L1792" t="b">
        <v>0</v>
      </c>
      <c r="M1792" t="b">
        <v>0</v>
      </c>
      <c r="N1792" t="inlineStr">
        <is>
          <t>ref</t>
        </is>
      </c>
      <c r="O1792" t="n">
        <v>-100</v>
      </c>
      <c r="P1792" t="n">
        <v>0.0427</v>
      </c>
      <c r="Q1792" t="n">
        <v>-95</v>
      </c>
      <c r="R1792" t="n">
        <v>0.11694</v>
      </c>
      <c r="S1792">
        <f>IMAGE("https://mitra.stanford.edu/kundaje/oak/projects/neuro-variants/variant_position/credible/roussos_2024/variant_figures/roussos_2024.infant.GLU/rs62062785_count_position.png",4,220,900)</f>
        <v/>
      </c>
      <c r="T1792">
        <f>IMAGE("https://mitra.stanford.edu/kundaje/oak/projects/neuro-variants/variant_position/credible/roussos_2024/variant_figures/roussos_2024.infant.GLU/rs62062785_profile_position.png",4,220,900)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-0.2051691292</v>
      </c>
      <c r="G1793" t="n">
        <v>0.0122592166676857</v>
      </c>
      <c r="H1793" t="n">
        <v>0.0255435219991821</v>
      </c>
      <c r="I1793" t="n">
        <v>0.1011237038792876</v>
      </c>
      <c r="J1793" t="n">
        <v>0.0893527194162128</v>
      </c>
      <c r="K1793" t="n">
        <v>0.2325307364382614</v>
      </c>
      <c r="L1793" t="b">
        <v>1</v>
      </c>
      <c r="M1793" t="b">
        <v>0</v>
      </c>
      <c r="N1793" t="inlineStr">
        <is>
          <t>ref</t>
        </is>
      </c>
      <c r="O1793" t="n">
        <v>-15</v>
      </c>
      <c r="P1793" t="n">
        <v>0.001587</v>
      </c>
      <c r="Q1793" t="n">
        <v>-10</v>
      </c>
      <c r="R1793" t="n">
        <v>0.0166</v>
      </c>
      <c r="S1793">
        <f>IMAGE("https://mitra.stanford.edu/kundaje/oak/projects/neuro-variants/variant_position/credible/roussos_2024/variant_figures/roussos_2024.infant.GLU/rs62062786_count_position.png",4,220,900)</f>
        <v/>
      </c>
      <c r="T1793">
        <f>IMAGE("https://mitra.stanford.edu/kundaje/oak/projects/neuro-variants/variant_position/credible/roussos_2024/variant_figures/roussos_2024.infant.GLU/rs62062786_profile_position.png",4,220,900)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0.0364047376</v>
      </c>
      <c r="G1794" t="n">
        <v>0.2466996539788789</v>
      </c>
      <c r="H1794" t="n">
        <v>0.0137531686031886</v>
      </c>
      <c r="I1794" t="n">
        <v>0.4309566743500901</v>
      </c>
      <c r="J1794" t="n">
        <v>0.302965232919597</v>
      </c>
      <c r="K1794" t="n">
        <v>0.0680065291374457</v>
      </c>
      <c r="L1794" t="b">
        <v>0</v>
      </c>
      <c r="M1794" t="b">
        <v>0</v>
      </c>
      <c r="N1794" t="inlineStr">
        <is>
          <t>alt</t>
        </is>
      </c>
      <c r="O1794" t="n">
        <v>-65</v>
      </c>
      <c r="P1794" t="n">
        <v>0.03038</v>
      </c>
      <c r="Q1794" t="n">
        <v>60</v>
      </c>
      <c r="R1794" t="n">
        <v>0.02979</v>
      </c>
      <c r="S1794">
        <f>IMAGE("https://mitra.stanford.edu/kundaje/oak/projects/neuro-variants/variant_position/credible/roussos_2024/variant_figures/roussos_2024.infant.GLU/rs242561_count_position.png",4,220,900)</f>
        <v/>
      </c>
      <c r="T1794">
        <f>IMAGE("https://mitra.stanford.edu/kundaje/oak/projects/neuro-variants/variant_position/credible/roussos_2024/variant_figures/roussos_2024.infant.GLU/rs242561_profile_position.png",4,220,900)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0.0376766994</v>
      </c>
      <c r="G1795" t="n">
        <v>0.2152151131243495</v>
      </c>
      <c r="H1795" t="n">
        <v>0.0211078715514071</v>
      </c>
      <c r="I1795" t="n">
        <v>0.1605255795757038</v>
      </c>
      <c r="J1795" t="n">
        <v>0.1351110033289975</v>
      </c>
      <c r="K1795" t="n">
        <v>0.1637527727680169</v>
      </c>
      <c r="L1795" t="b">
        <v>0</v>
      </c>
      <c r="M1795" t="b">
        <v>0</v>
      </c>
      <c r="N1795" t="inlineStr">
        <is>
          <t>alt</t>
        </is>
      </c>
      <c r="O1795" t="n">
        <v>-90</v>
      </c>
      <c r="P1795" t="n">
        <v>0.007065</v>
      </c>
      <c r="Q1795" t="n">
        <v>85</v>
      </c>
      <c r="R1795" t="n">
        <v>0.04492</v>
      </c>
      <c r="S1795">
        <f>IMAGE("https://mitra.stanford.edu/kundaje/oak/projects/neuro-variants/variant_position/credible/roussos_2024/variant_figures/roussos_2024.infant.GLU/rs62062795_count_position.png",4,220,900)</f>
        <v/>
      </c>
      <c r="T1795">
        <f>IMAGE("https://mitra.stanford.edu/kundaje/oak/projects/neuro-variants/variant_position/credible/roussos_2024/variant_figures/roussos_2024.infant.GLU/rs62062795_profile_position.png",4,220,900)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0.1163206078</v>
      </c>
      <c r="G1796" t="n">
        <v>0.0384274736820814</v>
      </c>
      <c r="H1796" t="n">
        <v>0.0180106928616769</v>
      </c>
      <c r="I1796" t="n">
        <v>0.24254802061906</v>
      </c>
      <c r="J1796" t="n">
        <v>0.0534271037721289</v>
      </c>
      <c r="K1796" t="n">
        <v>0.3299132532293518</v>
      </c>
      <c r="L1796" t="b">
        <v>0</v>
      </c>
      <c r="M1796" t="b">
        <v>0</v>
      </c>
      <c r="N1796" t="inlineStr">
        <is>
          <t>alt</t>
        </is>
      </c>
      <c r="O1796" t="n">
        <v>90</v>
      </c>
      <c r="P1796" t="n">
        <v>0.00109</v>
      </c>
      <c r="Q1796" t="n">
        <v>-100</v>
      </c>
      <c r="R1796" t="n">
        <v>0.1028</v>
      </c>
      <c r="S1796">
        <f>IMAGE("https://mitra.stanford.edu/kundaje/oak/projects/neuro-variants/variant_position/credible/roussos_2024/variant_figures/roussos_2024.infant.GLU/rs62062798_count_position.png",4,220,900)</f>
        <v/>
      </c>
      <c r="T1796">
        <f>IMAGE("https://mitra.stanford.edu/kundaje/oak/projects/neuro-variants/variant_position/credible/roussos_2024/variant_figures/roussos_2024.infant.GLU/rs62062798_profile_position.png",4,220,900)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-0.00621990188</v>
      </c>
      <c r="G1797" t="n">
        <v>0.7620304821975917</v>
      </c>
      <c r="H1797" t="n">
        <v>0.0568994966990387</v>
      </c>
      <c r="I1797" t="n">
        <v>0.0040525869965985</v>
      </c>
      <c r="J1797" t="n">
        <v>0.0324048149209638</v>
      </c>
      <c r="K1797" t="n">
        <v>0.4405755948979308</v>
      </c>
      <c r="L1797" t="b">
        <v>1</v>
      </c>
      <c r="M1797" t="b">
        <v>0</v>
      </c>
      <c r="N1797" t="inlineStr">
        <is>
          <t>ref</t>
        </is>
      </c>
      <c r="O1797" t="n">
        <v>-90</v>
      </c>
      <c r="P1797" t="n">
        <v>0.01074</v>
      </c>
      <c r="Q1797" t="n">
        <v>-70</v>
      </c>
      <c r="R1797" t="n">
        <v>0.03116</v>
      </c>
      <c r="S1797">
        <f>IMAGE("https://mitra.stanford.edu/kundaje/oak/projects/neuro-variants/variant_position/credible/roussos_2024/variant_figures/roussos_2024.infant.GLU/rs62062801_count_position.png",4,220,900)</f>
        <v/>
      </c>
      <c r="T1797">
        <f>IMAGE("https://mitra.stanford.edu/kundaje/oak/projects/neuro-variants/variant_position/credible/roussos_2024/variant_figures/roussos_2024.infant.GLU/rs62062801_profile_position.png",4,220,900)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0.01575326628</v>
      </c>
      <c r="G1798" t="n">
        <v>0.5060434385554586</v>
      </c>
      <c r="H1798" t="n">
        <v>0.0654549995305167</v>
      </c>
      <c r="I1798" t="n">
        <v>0.0019974619640545</v>
      </c>
      <c r="J1798" t="n">
        <v>0.0397087678299785</v>
      </c>
      <c r="K1798" t="n">
        <v>0.3975377525954945</v>
      </c>
      <c r="L1798" t="b">
        <v>1</v>
      </c>
      <c r="M1798" t="b">
        <v>0</v>
      </c>
      <c r="N1798" t="inlineStr">
        <is>
          <t>alt</t>
        </is>
      </c>
      <c r="O1798" t="n">
        <v>-100</v>
      </c>
      <c r="P1798" t="n">
        <v>0.01318</v>
      </c>
      <c r="Q1798" t="n">
        <v>-100</v>
      </c>
      <c r="R1798" t="n">
        <v>0.113</v>
      </c>
      <c r="S1798">
        <f>IMAGE("https://mitra.stanford.edu/kundaje/oak/projects/neuro-variants/variant_position/credible/roussos_2024/variant_figures/roussos_2024.infant.GLU/rs62062802_count_position.png",4,220,900)</f>
        <v/>
      </c>
      <c r="T1798">
        <f>IMAGE("https://mitra.stanford.edu/kundaje/oak/projects/neuro-variants/variant_position/credible/roussos_2024/variant_figures/roussos_2024.infant.GLU/rs62062802_profile_position.png",4,220,900)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0.1285757</v>
      </c>
      <c r="G1799" t="n">
        <v>0.0318434934625252</v>
      </c>
      <c r="H1799" t="n">
        <v>0.0259774091257828</v>
      </c>
      <c r="I1799" t="n">
        <v>0.09368518475731839</v>
      </c>
      <c r="J1799" t="n">
        <v>0.1911649286800855</v>
      </c>
      <c r="K1799" t="n">
        <v>0.1179363801009354</v>
      </c>
      <c r="L1799" t="b">
        <v>0</v>
      </c>
      <c r="M1799" t="b">
        <v>0</v>
      </c>
      <c r="N1799" t="inlineStr">
        <is>
          <t>alt</t>
        </is>
      </c>
      <c r="O1799" t="n">
        <v>-5</v>
      </c>
      <c r="P1799" t="n">
        <v>0.00177</v>
      </c>
      <c r="Q1799" t="n">
        <v>25</v>
      </c>
      <c r="R1799" t="n">
        <v>0.00903</v>
      </c>
      <c r="S1799">
        <f>IMAGE("https://mitra.stanford.edu/kundaje/oak/projects/neuro-variants/variant_position/credible/roussos_2024/variant_figures/roussos_2024.infant.GLU/rs62063262_count_position.png",4,220,900)</f>
        <v/>
      </c>
      <c r="T1799">
        <f>IMAGE("https://mitra.stanford.edu/kundaje/oak/projects/neuro-variants/variant_position/credible/roussos_2024/variant_figures/roussos_2024.infant.GLU/rs62063262_profile_position.png",4,220,900)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0.0008142949399999</v>
      </c>
      <c r="G1800" t="n">
        <v>0.7451748485993339</v>
      </c>
      <c r="H1800" t="n">
        <v>0.009809913703736199</v>
      </c>
      <c r="I1800" t="n">
        <v>0.7578784166043586</v>
      </c>
      <c r="J1800" t="n">
        <v>0.2592230869287241</v>
      </c>
      <c r="K1800" t="n">
        <v>0.081466206414179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0.00899</v>
      </c>
      <c r="Q1800" t="n">
        <v>100</v>
      </c>
      <c r="R1800" t="n">
        <v>0.1704</v>
      </c>
      <c r="S1800">
        <f>IMAGE("https://mitra.stanford.edu/kundaje/oak/projects/neuro-variants/variant_position/credible/roussos_2024/variant_figures/roussos_2024.infant.GLU/rs62063269_count_position.png",4,220,900)</f>
        <v/>
      </c>
      <c r="T1800">
        <f>IMAGE("https://mitra.stanford.edu/kundaje/oak/projects/neuro-variants/variant_position/credible/roussos_2024/variant_figures/roussos_2024.infant.GLU/rs62063269_profile_position.png",4,220,900)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0.0013740199999999</v>
      </c>
      <c r="G1801" t="n">
        <v>0.8051539111521935</v>
      </c>
      <c r="H1801" t="n">
        <v>0.0133981657805236</v>
      </c>
      <c r="I1801" t="n">
        <v>0.4550698587930349</v>
      </c>
      <c r="J1801" t="n">
        <v>0.2566601997398531</v>
      </c>
      <c r="K1801" t="n">
        <v>0.0825488190168711</v>
      </c>
      <c r="L1801" t="b">
        <v>0</v>
      </c>
      <c r="M1801" t="b">
        <v>0</v>
      </c>
      <c r="N1801" t="inlineStr">
        <is>
          <t>alt</t>
        </is>
      </c>
      <c r="O1801" t="n">
        <v>100</v>
      </c>
      <c r="P1801" t="n">
        <v>0.02216</v>
      </c>
      <c r="Q1801" t="n">
        <v>100</v>
      </c>
      <c r="R1801" t="n">
        <v>0.3098</v>
      </c>
      <c r="S1801">
        <f>IMAGE("https://mitra.stanford.edu/kundaje/oak/projects/neuro-variants/variant_position/credible/roussos_2024/variant_figures/roussos_2024.infant.GLU/rs17571809_count_position.png",4,220,900)</f>
        <v/>
      </c>
      <c r="T1801">
        <f>IMAGE("https://mitra.stanford.edu/kundaje/oak/projects/neuro-variants/variant_position/credible/roussos_2024/variant_figures/roussos_2024.infant.GLU/rs17571809_profile_position.png",4,220,900)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-0.00287957408</v>
      </c>
      <c r="G1802" t="n">
        <v>0.7939835758060895</v>
      </c>
      <c r="H1802" t="n">
        <v>0.0311338422719685</v>
      </c>
      <c r="I1802" t="n">
        <v>0.0508698754485153</v>
      </c>
      <c r="J1802" t="n">
        <v>0.0675477854450053</v>
      </c>
      <c r="K1802" t="n">
        <v>0.2858571122111943</v>
      </c>
      <c r="L1802" t="b">
        <v>0</v>
      </c>
      <c r="M1802" t="b">
        <v>0</v>
      </c>
      <c r="N1802" t="inlineStr">
        <is>
          <t>ref</t>
        </is>
      </c>
      <c r="O1802" t="n">
        <v>-100</v>
      </c>
      <c r="P1802" t="n">
        <v>0.02264</v>
      </c>
      <c r="Q1802" t="n">
        <v>60</v>
      </c>
      <c r="R1802" t="n">
        <v>0.0668</v>
      </c>
      <c r="S1802">
        <f>IMAGE("https://mitra.stanford.edu/kundaje/oak/projects/neuro-variants/variant_position/credible/roussos_2024/variant_figures/roussos_2024.infant.GLU/rs77555455_count_position.png",4,220,900)</f>
        <v/>
      </c>
      <c r="T1802">
        <f>IMAGE("https://mitra.stanford.edu/kundaje/oak/projects/neuro-variants/variant_position/credible/roussos_2024/variant_figures/roussos_2024.infant.GLU/rs77555455_profile_position.png",4,220,900)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-0.039965793</v>
      </c>
      <c r="G1803" t="n">
        <v>0.2322212544053095</v>
      </c>
      <c r="H1803" t="n">
        <v>0.0106872659818151</v>
      </c>
      <c r="I1803" t="n">
        <v>0.6674833608723387</v>
      </c>
      <c r="J1803" t="n">
        <v>0.0508157146321567</v>
      </c>
      <c r="K1803" t="n">
        <v>0.341404995719245</v>
      </c>
      <c r="L1803" t="b">
        <v>0</v>
      </c>
      <c r="M1803" t="b">
        <v>0</v>
      </c>
      <c r="N1803" t="inlineStr">
        <is>
          <t>ref</t>
        </is>
      </c>
      <c r="O1803" t="n">
        <v>45</v>
      </c>
      <c r="P1803" t="n">
        <v>0.01636</v>
      </c>
      <c r="Q1803" t="n">
        <v>100</v>
      </c>
      <c r="R1803" t="n">
        <v>0.10876</v>
      </c>
      <c r="S1803">
        <f>IMAGE("https://mitra.stanford.edu/kundaje/oak/projects/neuro-variants/variant_position/credible/roussos_2024/variant_figures/roussos_2024.infant.GLU/rs55711941_count_position.png",4,220,900)</f>
        <v/>
      </c>
      <c r="T1803">
        <f>IMAGE("https://mitra.stanford.edu/kundaje/oak/projects/neuro-variants/variant_position/credible/roussos_2024/variant_figures/roussos_2024.infant.GLU/rs55711941_profile_position.png",4,220,900)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0.058595304</v>
      </c>
      <c r="G1804" t="n">
        <v>0.1374287913668526</v>
      </c>
      <c r="H1804" t="n">
        <v>0.0149793573393251</v>
      </c>
      <c r="I1804" t="n">
        <v>0.3627238146157435</v>
      </c>
      <c r="J1804" t="n">
        <v>0.1073359201040587</v>
      </c>
      <c r="K1804" t="n">
        <v>0.1968384927581647</v>
      </c>
      <c r="L1804" t="b">
        <v>0</v>
      </c>
      <c r="M1804" t="b">
        <v>0</v>
      </c>
      <c r="N1804" t="inlineStr">
        <is>
          <t>alt</t>
        </is>
      </c>
      <c r="O1804" t="n">
        <v>95</v>
      </c>
      <c r="P1804" t="n">
        <v>0.01659</v>
      </c>
      <c r="Q1804" t="n">
        <v>15</v>
      </c>
      <c r="R1804" t="n">
        <v>0.02856</v>
      </c>
      <c r="S1804">
        <f>IMAGE("https://mitra.stanford.edu/kundaje/oak/projects/neuro-variants/variant_position/credible/roussos_2024/variant_figures/roussos_2024.infant.GLU/rs55709241_count_position.png",4,220,900)</f>
        <v/>
      </c>
      <c r="T1804">
        <f>IMAGE("https://mitra.stanford.edu/kundaje/oak/projects/neuro-variants/variant_position/credible/roussos_2024/variant_figures/roussos_2024.infant.GLU/rs55709241_profile_position.png",4,220,900)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0.0318795688</v>
      </c>
      <c r="G1805" t="n">
        <v>0.2918266195059846</v>
      </c>
      <c r="H1805" t="n">
        <v>0.0681740660576671</v>
      </c>
      <c r="I1805" t="n">
        <v>0.0015725393763932</v>
      </c>
      <c r="J1805" t="n">
        <v>0.1002248726823783</v>
      </c>
      <c r="K1805" t="n">
        <v>0.2080248138414988</v>
      </c>
      <c r="L1805" t="b">
        <v>1</v>
      </c>
      <c r="M1805" t="b">
        <v>1</v>
      </c>
      <c r="N1805" t="inlineStr">
        <is>
          <t>alt</t>
        </is>
      </c>
      <c r="O1805" t="n">
        <v>-95</v>
      </c>
      <c r="P1805" t="n">
        <v>0.01007</v>
      </c>
      <c r="Q1805" t="n">
        <v>-100</v>
      </c>
      <c r="R1805" t="n">
        <v>0.1558</v>
      </c>
      <c r="S1805">
        <f>IMAGE("https://mitra.stanford.edu/kundaje/oak/projects/neuro-variants/variant_position/credible/roussos_2024/variant_figures/roussos_2024.infant.GLU/rs112058117_count_position.png",4,220,900)</f>
        <v/>
      </c>
      <c r="T1805">
        <f>IMAGE("https://mitra.stanford.edu/kundaje/oak/projects/neuro-variants/variant_position/credible/roussos_2024/variant_figures/roussos_2024.infant.GLU/rs112058117_profile_position.png",4,220,900)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-0.0516735911999999</v>
      </c>
      <c r="G1806" t="n">
        <v>0.1613846509776051</v>
      </c>
      <c r="H1806" t="n">
        <v>0.0217937407386168</v>
      </c>
      <c r="I1806" t="n">
        <v>0.1475393835985939</v>
      </c>
      <c r="J1806" t="n">
        <v>0.3367721951542141</v>
      </c>
      <c r="K1806" t="n">
        <v>0.0578010468770624</v>
      </c>
      <c r="L1806" t="b">
        <v>0</v>
      </c>
      <c r="M1806" t="b">
        <v>0</v>
      </c>
      <c r="N1806" t="inlineStr">
        <is>
          <t>ref</t>
        </is>
      </c>
      <c r="O1806" t="n">
        <v>30</v>
      </c>
      <c r="P1806" t="n">
        <v>0.0092</v>
      </c>
      <c r="Q1806" t="n">
        <v>10</v>
      </c>
      <c r="R1806" t="n">
        <v>0.04224</v>
      </c>
      <c r="S1806">
        <f>IMAGE("https://mitra.stanford.edu/kundaje/oak/projects/neuro-variants/variant_position/credible/roussos_2024/variant_figures/roussos_2024.infant.GLU/rs62063291_count_position.png",4,220,900)</f>
        <v/>
      </c>
      <c r="T1806">
        <f>IMAGE("https://mitra.stanford.edu/kundaje/oak/projects/neuro-variants/variant_position/credible/roussos_2024/variant_figures/roussos_2024.infant.GLU/rs62063291_profile_position.png",4,220,900)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0.0572144212</v>
      </c>
      <c r="G1807" t="n">
        <v>0.1544991788214475</v>
      </c>
      <c r="H1807" t="n">
        <v>0.0106391820765433</v>
      </c>
      <c r="I1807" t="n">
        <v>0.6595661376855347</v>
      </c>
      <c r="J1807" t="n">
        <v>0.2127064088714477</v>
      </c>
      <c r="K1807" t="n">
        <v>0.1046567970256448</v>
      </c>
      <c r="L1807" t="b">
        <v>0</v>
      </c>
      <c r="M1807" t="b">
        <v>0</v>
      </c>
      <c r="N1807" t="inlineStr">
        <is>
          <t>alt</t>
        </is>
      </c>
      <c r="O1807" t="n">
        <v>95</v>
      </c>
      <c r="P1807" t="n">
        <v>0.01249</v>
      </c>
      <c r="Q1807" t="n">
        <v>-100</v>
      </c>
      <c r="R1807" t="n">
        <v>0.04694</v>
      </c>
      <c r="S1807">
        <f>IMAGE("https://mitra.stanford.edu/kundaje/oak/projects/neuro-variants/variant_position/credible/roussos_2024/variant_figures/roussos_2024.infant.GLU/rs17650991_count_position.png",4,220,900)</f>
        <v/>
      </c>
      <c r="T1807">
        <f>IMAGE("https://mitra.stanford.edu/kundaje/oak/projects/neuro-variants/variant_position/credible/roussos_2024/variant_figures/roussos_2024.infant.GLU/rs17650991_profile_position.png",4,220,900)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-0.0179109956</v>
      </c>
      <c r="G1808" t="n">
        <v>0.4781197927773867</v>
      </c>
      <c r="H1808" t="n">
        <v>0.0174550881628519</v>
      </c>
      <c r="I1808" t="n">
        <v>0.2609439085562104</v>
      </c>
      <c r="J1808" t="n">
        <v>0.2756432020106263</v>
      </c>
      <c r="K1808" t="n">
        <v>0.0789365209560795</v>
      </c>
      <c r="L1808" t="b">
        <v>0</v>
      </c>
      <c r="M1808" t="b">
        <v>0</v>
      </c>
      <c r="N1808" t="inlineStr">
        <is>
          <t>ref</t>
        </is>
      </c>
      <c r="O1808" t="n">
        <v>100</v>
      </c>
      <c r="P1808" t="n">
        <v>0.00732</v>
      </c>
      <c r="Q1808" t="n">
        <v>95</v>
      </c>
      <c r="R1808" t="n">
        <v>0.1587</v>
      </c>
      <c r="S1808">
        <f>IMAGE("https://mitra.stanford.edu/kundaje/oak/projects/neuro-variants/variant_position/credible/roussos_2024/variant_figures/roussos_2024.infant.GLU/rs62063303_count_position.png",4,220,900)</f>
        <v/>
      </c>
      <c r="T1808">
        <f>IMAGE("https://mitra.stanford.edu/kundaje/oak/projects/neuro-variants/variant_position/credible/roussos_2024/variant_figures/roussos_2024.infant.GLU/rs62063303_profile_position.png",4,220,900)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-0.20665049</v>
      </c>
      <c r="G1809" t="n">
        <v>0.0095637750289075</v>
      </c>
      <c r="H1809" t="n">
        <v>0.0274745942487455</v>
      </c>
      <c r="I1809" t="n">
        <v>0.0764585192764234</v>
      </c>
      <c r="J1809" t="n">
        <v>0.3407184902665402</v>
      </c>
      <c r="K1809" t="n">
        <v>0.0586746378401542</v>
      </c>
      <c r="L1809" t="b">
        <v>1</v>
      </c>
      <c r="M1809" t="b">
        <v>1</v>
      </c>
      <c r="N1809" t="inlineStr">
        <is>
          <t>ref</t>
        </is>
      </c>
      <c r="O1809" t="n">
        <v>-40</v>
      </c>
      <c r="P1809" t="n">
        <v>0.01477</v>
      </c>
      <c r="Q1809" t="n">
        <v>-30</v>
      </c>
      <c r="R1809" t="n">
        <v>0.0625</v>
      </c>
      <c r="S1809">
        <f>IMAGE("https://mitra.stanford.edu/kundaje/oak/projects/neuro-variants/variant_position/credible/roussos_2024/variant_figures/roussos_2024.infant.GLU/rs75242405_count_position.png",4,220,900)</f>
        <v/>
      </c>
      <c r="T1809">
        <f>IMAGE("https://mitra.stanford.edu/kundaje/oak/projects/neuro-variants/variant_position/credible/roussos_2024/variant_figures/roussos_2024.infant.GLU/rs75242405_profile_position.png",4,220,900)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0.0522483507999999</v>
      </c>
      <c r="G1810" t="n">
        <v>0.153422370293618</v>
      </c>
      <c r="H1810" t="n">
        <v>0.0103874680142228</v>
      </c>
      <c r="I1810" t="n">
        <v>0.6809941962211492</v>
      </c>
      <c r="J1810" t="n">
        <v>0.1238486298198813</v>
      </c>
      <c r="K1810" t="n">
        <v>0.1749428361660408</v>
      </c>
      <c r="L1810" t="b">
        <v>0</v>
      </c>
      <c r="M1810" t="b">
        <v>0</v>
      </c>
      <c r="N1810" t="inlineStr">
        <is>
          <t>alt</t>
        </is>
      </c>
      <c r="O1810" t="n">
        <v>-20</v>
      </c>
      <c r="P1810" t="n">
        <v>0.002192</v>
      </c>
      <c r="Q1810" t="n">
        <v>80</v>
      </c>
      <c r="R1810" t="n">
        <v>0.1183</v>
      </c>
      <c r="S1810">
        <f>IMAGE("https://mitra.stanford.edu/kundaje/oak/projects/neuro-variants/variant_position/credible/roussos_2024/variant_figures/roussos_2024.infant.GLU/rs62063776_count_position.png",4,220,900)</f>
        <v/>
      </c>
      <c r="T1810">
        <f>IMAGE("https://mitra.stanford.edu/kundaje/oak/projects/neuro-variants/variant_position/credible/roussos_2024/variant_figures/roussos_2024.infant.GLU/rs62063776_profile_position.png",4,220,900)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0.103218432</v>
      </c>
      <c r="G1811" t="n">
        <v>0.0467512082192327</v>
      </c>
      <c r="H1811" t="n">
        <v>0.01957453557381</v>
      </c>
      <c r="I1811" t="n">
        <v>0.1968631040910091</v>
      </c>
      <c r="J1811" t="n">
        <v>0.1391509953923146</v>
      </c>
      <c r="K1811" t="n">
        <v>0.1825886622424851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0.00392</v>
      </c>
      <c r="Q1811" t="n">
        <v>90</v>
      </c>
      <c r="R1811" t="n">
        <v>0.0735</v>
      </c>
      <c r="S1811">
        <f>IMAGE("https://mitra.stanford.edu/kundaje/oak/projects/neuro-variants/variant_position/credible/roussos_2024/variant_figures/roussos_2024.infant.GLU/rs17572467_count_position.png",4,220,900)</f>
        <v/>
      </c>
      <c r="T1811">
        <f>IMAGE("https://mitra.stanford.edu/kundaje/oak/projects/neuro-variants/variant_position/credible/roussos_2024/variant_figures/roussos_2024.infant.GLU/rs17572467_profile_position.png",4,220,900)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0.0581187206</v>
      </c>
      <c r="G1812" t="n">
        <v>0.1454825137479491</v>
      </c>
      <c r="H1812" t="n">
        <v>0.0147202423821231</v>
      </c>
      <c r="I1812" t="n">
        <v>0.381772449645936</v>
      </c>
      <c r="J1812" t="n">
        <v>0.1429165105050816</v>
      </c>
      <c r="K1812" t="n">
        <v>0.1782368490212099</v>
      </c>
      <c r="L1812" t="b">
        <v>0</v>
      </c>
      <c r="M1812" t="b">
        <v>0</v>
      </c>
      <c r="N1812" t="inlineStr">
        <is>
          <t>alt</t>
        </is>
      </c>
      <c r="O1812" t="n">
        <v>-95</v>
      </c>
      <c r="P1812" t="n">
        <v>0.02817</v>
      </c>
      <c r="Q1812" t="n">
        <v>-85</v>
      </c>
      <c r="R1812" t="n">
        <v>0.1488</v>
      </c>
      <c r="S1812">
        <f>IMAGE("https://mitra.stanford.edu/kundaje/oak/projects/neuro-variants/variant_position/credible/roussos_2024/variant_figures/roussos_2024.infant.GLU/rs17572495_count_position.png",4,220,900)</f>
        <v/>
      </c>
      <c r="T1812">
        <f>IMAGE("https://mitra.stanford.edu/kundaje/oak/projects/neuro-variants/variant_position/credible/roussos_2024/variant_figures/roussos_2024.infant.GLU/rs17572495_profile_position.png",4,220,900)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-0.0944447848</v>
      </c>
      <c r="G1813" t="n">
        <v>0.0579536034147188</v>
      </c>
      <c r="H1813" t="n">
        <v>0.0222838491016379</v>
      </c>
      <c r="I1813" t="n">
        <v>0.1401074444201319</v>
      </c>
      <c r="J1813" t="n">
        <v>0.5134229149672612</v>
      </c>
      <c r="K1813" t="n">
        <v>0.029307915283052</v>
      </c>
      <c r="L1813" t="b">
        <v>0</v>
      </c>
      <c r="M1813" t="b">
        <v>0</v>
      </c>
      <c r="N1813" t="inlineStr">
        <is>
          <t>ref</t>
        </is>
      </c>
      <c r="O1813" t="n">
        <v>5</v>
      </c>
      <c r="P1813" t="n">
        <v>0.000572</v>
      </c>
      <c r="Q1813" t="n">
        <v>100</v>
      </c>
      <c r="R1813" t="n">
        <v>0.1667</v>
      </c>
      <c r="S1813">
        <f>IMAGE("https://mitra.stanford.edu/kundaje/oak/projects/neuro-variants/variant_position/credible/roussos_2024/variant_figures/roussos_2024.infant.GLU/rs56234850_count_position.png",4,220,900)</f>
        <v/>
      </c>
      <c r="T1813">
        <f>IMAGE("https://mitra.stanford.edu/kundaje/oak/projects/neuro-variants/variant_position/credible/roussos_2024/variant_figures/roussos_2024.infant.GLU/rs56234850_profile_position.png",4,220,900)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-0.0122712324</v>
      </c>
      <c r="G1814" t="n">
        <v>0.5891424500634794</v>
      </c>
      <c r="H1814" t="n">
        <v>0.0136907217822345</v>
      </c>
      <c r="I1814" t="n">
        <v>0.4402786987882845</v>
      </c>
      <c r="J1814" t="n">
        <v>0.0513966357283008</v>
      </c>
      <c r="K1814" t="n">
        <v>0.3398374936994421</v>
      </c>
      <c r="L1814" t="b">
        <v>0</v>
      </c>
      <c r="M1814" t="b">
        <v>0</v>
      </c>
      <c r="N1814" t="inlineStr">
        <is>
          <t>ref</t>
        </is>
      </c>
      <c r="O1814" t="n">
        <v>-100</v>
      </c>
      <c r="P1814" t="n">
        <v>0.006622</v>
      </c>
      <c r="Q1814" t="n">
        <v>100</v>
      </c>
      <c r="R1814" t="n">
        <v>0.0599</v>
      </c>
      <c r="S1814">
        <f>IMAGE("https://mitra.stanford.edu/kundaje/oak/projects/neuro-variants/variant_position/credible/roussos_2024/variant_figures/roussos_2024.infant.GLU/rs10445371_count_position.png",4,220,900)</f>
        <v/>
      </c>
      <c r="T1814">
        <f>IMAGE("https://mitra.stanford.edu/kundaje/oak/projects/neuro-variants/variant_position/credible/roussos_2024/variant_figures/roussos_2024.infant.GLU/rs10445371_profile_position.png",4,220,900)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-0.29278449</v>
      </c>
      <c r="G1815" t="n">
        <v>0.0032076965069322</v>
      </c>
      <c r="H1815" t="n">
        <v>0.0404211478843598</v>
      </c>
      <c r="I1815" t="n">
        <v>0.019364532956059</v>
      </c>
      <c r="J1815" t="n">
        <v>0.0444917215988006</v>
      </c>
      <c r="K1815" t="n">
        <v>0.3693087475513259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0.03918</v>
      </c>
      <c r="Q1815" t="n">
        <v>-40</v>
      </c>
      <c r="R1815" t="n">
        <v>0.01367</v>
      </c>
      <c r="S1815">
        <f>IMAGE("https://mitra.stanford.edu/kundaje/oak/projects/neuro-variants/variant_position/credible/roussos_2024/variant_figures/roussos_2024.infant.GLU/rs919464_count_position.png",4,220,900)</f>
        <v/>
      </c>
      <c r="T1815">
        <f>IMAGE("https://mitra.stanford.edu/kundaje/oak/projects/neuro-variants/variant_position/credible/roussos_2024/variant_figures/roussos_2024.infant.GLU/rs919464_profile_position.png",4,220,900)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0.0048588207199999</v>
      </c>
      <c r="G1816" t="n">
        <v>0.7592646626205906</v>
      </c>
      <c r="H1816" t="n">
        <v>0.0089842338549066</v>
      </c>
      <c r="I1816" t="n">
        <v>0.811571689307393</v>
      </c>
      <c r="J1816" t="n">
        <v>0.024949844573293</v>
      </c>
      <c r="K1816" t="n">
        <v>0.4958174737813455</v>
      </c>
      <c r="L1816" t="b">
        <v>0</v>
      </c>
      <c r="M1816" t="b">
        <v>0</v>
      </c>
      <c r="N1816" t="inlineStr">
        <is>
          <t>alt</t>
        </is>
      </c>
      <c r="O1816" t="n">
        <v>-90</v>
      </c>
      <c r="P1816" t="n">
        <v>0.0554</v>
      </c>
      <c r="Q1816" t="n">
        <v>-100</v>
      </c>
      <c r="R1816" t="n">
        <v>0.1683</v>
      </c>
      <c r="S1816">
        <f>IMAGE("https://mitra.stanford.edu/kundaje/oak/projects/neuro-variants/variant_position/credible/roussos_2024/variant_figures/roussos_2024.infant.GLU/rs10445337_count_position.png",4,220,900)</f>
        <v/>
      </c>
      <c r="T1816">
        <f>IMAGE("https://mitra.stanford.edu/kundaje/oak/projects/neuro-variants/variant_position/credible/roussos_2024/variant_figures/roussos_2024.infant.GLU/rs10445337_profile_position.png",4,220,900)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-0.07560436600000001</v>
      </c>
      <c r="G1817" t="n">
        <v>0.08520842640472689</v>
      </c>
      <c r="H1817" t="n">
        <v>0.0206808116809192</v>
      </c>
      <c r="I1817" t="n">
        <v>0.1690584824933172</v>
      </c>
      <c r="J1817" t="n">
        <v>0.0198648559271588</v>
      </c>
      <c r="K1817" t="n">
        <v>0.5417374452120179</v>
      </c>
      <c r="L1817" t="b">
        <v>0</v>
      </c>
      <c r="M1817" t="b">
        <v>0</v>
      </c>
      <c r="N1817" t="inlineStr">
        <is>
          <t>ref</t>
        </is>
      </c>
      <c r="O1817" t="n">
        <v>100</v>
      </c>
      <c r="P1817" t="n">
        <v>0.00401</v>
      </c>
      <c r="Q1817" t="n">
        <v>-75</v>
      </c>
      <c r="R1817" t="n">
        <v>0.059</v>
      </c>
      <c r="S1817">
        <f>IMAGE("https://mitra.stanford.edu/kundaje/oak/projects/neuro-variants/variant_position/credible/roussos_2024/variant_figures/roussos_2024.infant.GLU/rs62063796_count_position.png",4,220,900)</f>
        <v/>
      </c>
      <c r="T1817">
        <f>IMAGE("https://mitra.stanford.edu/kundaje/oak/projects/neuro-variants/variant_position/credible/roussos_2024/variant_figures/roussos_2024.infant.GLU/rs62063796_profile_position.png",4,220,900)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0.0901726628</v>
      </c>
      <c r="G1818" t="n">
        <v>0.0606626870690671</v>
      </c>
      <c r="H1818" t="n">
        <v>0.0170639865091273</v>
      </c>
      <c r="I1818" t="n">
        <v>0.2722039611187169</v>
      </c>
      <c r="J1818" t="n">
        <v>0.0323970987014704</v>
      </c>
      <c r="K1818" t="n">
        <v>0.4431368718271714</v>
      </c>
      <c r="L1818" t="b">
        <v>0</v>
      </c>
      <c r="M1818" t="b">
        <v>0</v>
      </c>
      <c r="N1818" t="inlineStr">
        <is>
          <t>alt</t>
        </is>
      </c>
      <c r="O1818" t="n">
        <v>-45</v>
      </c>
      <c r="P1818" t="n">
        <v>0.004303</v>
      </c>
      <c r="Q1818" t="n">
        <v>-100</v>
      </c>
      <c r="R1818" t="n">
        <v>0.12146</v>
      </c>
      <c r="S1818">
        <f>IMAGE("https://mitra.stanford.edu/kundaje/oak/projects/neuro-variants/variant_position/credible/roussos_2024/variant_figures/roussos_2024.infant.GLU/rs77290642_count_position.png",4,220,900)</f>
        <v/>
      </c>
      <c r="T1818">
        <f>IMAGE("https://mitra.stanford.edu/kundaje/oak/projects/neuro-variants/variant_position/credible/roussos_2024/variant_figures/roussos_2024.infant.GLU/rs77290642_profile_position.png",4,220,900)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-0.1106383519999999</v>
      </c>
      <c r="G1819" t="n">
        <v>0.0403874619486928</v>
      </c>
      <c r="H1819" t="n">
        <v>0.0146071786781861</v>
      </c>
      <c r="I1819" t="n">
        <v>0.3824554950370765</v>
      </c>
      <c r="J1819" t="n">
        <v>0.0480742520778676</v>
      </c>
      <c r="K1819" t="n">
        <v>0.3618662433727473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0.10284</v>
      </c>
      <c r="Q1819" t="n">
        <v>30</v>
      </c>
      <c r="R1819" t="n">
        <v>0.03992</v>
      </c>
      <c r="S1819">
        <f>IMAGE("https://mitra.stanford.edu/kundaje/oak/projects/neuro-variants/variant_position/credible/roussos_2024/variant_figures/roussos_2024.infant.GLU/rs1052551_count_position.png",4,220,900)</f>
        <v/>
      </c>
      <c r="T1819">
        <f>IMAGE("https://mitra.stanford.edu/kundaje/oak/projects/neuro-variants/variant_position/credible/roussos_2024/variant_figures/roussos_2024.infant.GLU/rs1052551_profile_position.png",4,220,900)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-0.1081513076</v>
      </c>
      <c r="G1820" t="n">
        <v>0.0447182053003099</v>
      </c>
      <c r="H1820" t="n">
        <v>0.0188703131613588</v>
      </c>
      <c r="I1820" t="n">
        <v>0.2139532461397827</v>
      </c>
      <c r="J1820" t="n">
        <v>0.092489913798805</v>
      </c>
      <c r="K1820" t="n">
        <v>0.2283721332693507</v>
      </c>
      <c r="L1820" t="b">
        <v>0</v>
      </c>
      <c r="M1820" t="b">
        <v>0</v>
      </c>
      <c r="N1820" t="inlineStr">
        <is>
          <t>ref</t>
        </is>
      </c>
      <c r="O1820" t="n">
        <v>-100</v>
      </c>
      <c r="P1820" t="n">
        <v>0.02913</v>
      </c>
      <c r="Q1820" t="n">
        <v>-100</v>
      </c>
      <c r="R1820" t="n">
        <v>0.1926</v>
      </c>
      <c r="S1820">
        <f>IMAGE("https://mitra.stanford.edu/kundaje/oak/projects/neuro-variants/variant_position/credible/roussos_2024/variant_figures/roussos_2024.infant.GLU/rs74759276_count_position.png",4,220,900)</f>
        <v/>
      </c>
      <c r="T1820">
        <f>IMAGE("https://mitra.stanford.edu/kundaje/oak/projects/neuro-variants/variant_position/credible/roussos_2024/variant_figures/roussos_2024.infant.GLU/rs74759276_profile_position.png",4,220,900)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0.0499335982</v>
      </c>
      <c r="G1821" t="n">
        <v>0.1704341485969857</v>
      </c>
      <c r="H1821" t="n">
        <v>0.0148595241444165</v>
      </c>
      <c r="I1821" t="n">
        <v>0.3685988331537266</v>
      </c>
      <c r="J1821" t="n">
        <v>0.1031382966996626</v>
      </c>
      <c r="K1821" t="n">
        <v>0.2104577791447068</v>
      </c>
      <c r="L1821" t="b">
        <v>0</v>
      </c>
      <c r="M1821" t="b">
        <v>0</v>
      </c>
      <c r="N1821" t="inlineStr">
        <is>
          <t>alt</t>
        </is>
      </c>
      <c r="O1821" t="n">
        <v>-95</v>
      </c>
      <c r="P1821" t="n">
        <v>0.0208</v>
      </c>
      <c r="Q1821" t="n">
        <v>-100</v>
      </c>
      <c r="R1821" t="n">
        <v>0.0353</v>
      </c>
      <c r="S1821">
        <f>IMAGE("https://mitra.stanford.edu/kundaje/oak/projects/neuro-variants/variant_position/credible/roussos_2024/variant_figures/roussos_2024.infant.GLU/rs17651887_count_position.png",4,220,900)</f>
        <v/>
      </c>
      <c r="T1821">
        <f>IMAGE("https://mitra.stanford.edu/kundaje/oak/projects/neuro-variants/variant_position/credible/roussos_2024/variant_figures/roussos_2024.infant.GLU/rs17651887_profile_position.png",4,220,900)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-0.0116240602</v>
      </c>
      <c r="G1822" t="n">
        <v>0.599658167479644</v>
      </c>
      <c r="H1822" t="n">
        <v>0.0378805815259442</v>
      </c>
      <c r="I1822" t="n">
        <v>0.0251724953675397</v>
      </c>
      <c r="J1822" t="n">
        <v>0.0480003968341453</v>
      </c>
      <c r="K1822" t="n">
        <v>0.3621980240337094</v>
      </c>
      <c r="L1822" t="b">
        <v>0</v>
      </c>
      <c r="M1822" t="b">
        <v>0</v>
      </c>
      <c r="N1822" t="inlineStr">
        <is>
          <t>ref</t>
        </is>
      </c>
      <c r="O1822" t="n">
        <v>-100</v>
      </c>
      <c r="P1822" t="n">
        <v>0.0644</v>
      </c>
      <c r="Q1822" t="n">
        <v>-100</v>
      </c>
      <c r="R1822" t="n">
        <v>0.1531</v>
      </c>
      <c r="S1822">
        <f>IMAGE("https://mitra.stanford.edu/kundaje/oak/projects/neuro-variants/variant_position/credible/roussos_2024/variant_figures/roussos_2024.infant.GLU/rs55913645_count_position.png",4,220,900)</f>
        <v/>
      </c>
      <c r="T1822">
        <f>IMAGE("https://mitra.stanford.edu/kundaje/oak/projects/neuro-variants/variant_position/credible/roussos_2024/variant_figures/roussos_2024.infant.GLU/rs55913645_profile_position.png",4,220,900)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0.00149408766</v>
      </c>
      <c r="G1823" t="n">
        <v>0.6366749245631546</v>
      </c>
      <c r="H1823" t="n">
        <v>0.008360737706550801</v>
      </c>
      <c r="I1823" t="n">
        <v>0.8747930859434641</v>
      </c>
      <c r="J1823" t="n">
        <v>0.1538448819418417</v>
      </c>
      <c r="K1823" t="n">
        <v>0.1541187749856314</v>
      </c>
      <c r="L1823" t="b">
        <v>0</v>
      </c>
      <c r="M1823" t="b">
        <v>0</v>
      </c>
      <c r="N1823" t="inlineStr">
        <is>
          <t>alt</t>
        </is>
      </c>
      <c r="O1823" t="n">
        <v>-85</v>
      </c>
      <c r="P1823" t="n">
        <v>0.014786</v>
      </c>
      <c r="Q1823" t="n">
        <v>-55</v>
      </c>
      <c r="R1823" t="n">
        <v>0.04218</v>
      </c>
      <c r="S1823">
        <f>IMAGE("https://mitra.stanford.edu/kundaje/oak/projects/neuro-variants/variant_position/credible/roussos_2024/variant_figures/roussos_2024.infant.GLU/rs62063849_count_position.png",4,220,900)</f>
        <v/>
      </c>
      <c r="T1823">
        <f>IMAGE("https://mitra.stanford.edu/kundaje/oak/projects/neuro-variants/variant_position/credible/roussos_2024/variant_figures/roussos_2024.infant.GLU/rs62063849_profile_position.png",4,220,900)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-0.0172703496799999</v>
      </c>
      <c r="G1824" t="n">
        <v>0.3943224201682687</v>
      </c>
      <c r="H1824" t="n">
        <v>0.01819323618147</v>
      </c>
      <c r="I1824" t="n">
        <v>0.2310195891030171</v>
      </c>
      <c r="J1824" t="n">
        <v>0.3472640490310633</v>
      </c>
      <c r="K1824" t="n">
        <v>0.0577696171067192</v>
      </c>
      <c r="L1824" t="b">
        <v>0</v>
      </c>
      <c r="M1824" t="b">
        <v>0</v>
      </c>
      <c r="N1824" t="inlineStr">
        <is>
          <t>ref</t>
        </is>
      </c>
      <c r="O1824" t="n">
        <v>-20</v>
      </c>
      <c r="P1824" t="n">
        <v>0.0004845</v>
      </c>
      <c r="Q1824" t="n">
        <v>20</v>
      </c>
      <c r="R1824" t="n">
        <v>0.04077</v>
      </c>
      <c r="S1824">
        <f>IMAGE("https://mitra.stanford.edu/kundaje/oak/projects/neuro-variants/variant_position/credible/roussos_2024/variant_figures/roussos_2024.infant.GLU/rs62063851_count_position.png",4,220,900)</f>
        <v/>
      </c>
      <c r="T1824">
        <f>IMAGE("https://mitra.stanford.edu/kundaje/oak/projects/neuro-variants/variant_position/credible/roussos_2024/variant_figures/roussos_2024.infant.GLU/rs62063851_profile_position.png",4,220,900)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0.00610331</v>
      </c>
      <c r="G1825" t="n">
        <v>0.7437072028148745</v>
      </c>
      <c r="H1825" t="n">
        <v>0.0116959593730353</v>
      </c>
      <c r="I1825" t="n">
        <v>0.5876235682848363</v>
      </c>
      <c r="J1825" t="n">
        <v>0.2058951916929385</v>
      </c>
      <c r="K1825" t="n">
        <v>0.1092909256720622</v>
      </c>
      <c r="L1825" t="b">
        <v>0</v>
      </c>
      <c r="M1825" t="b">
        <v>0</v>
      </c>
      <c r="N1825" t="inlineStr">
        <is>
          <t>alt</t>
        </is>
      </c>
      <c r="O1825" t="n">
        <v>-80</v>
      </c>
      <c r="P1825" t="n">
        <v>0.004517</v>
      </c>
      <c r="Q1825" t="n">
        <v>100</v>
      </c>
      <c r="R1825" t="n">
        <v>0.083</v>
      </c>
      <c r="S1825">
        <f>IMAGE("https://mitra.stanford.edu/kundaje/oak/projects/neuro-variants/variant_position/credible/roussos_2024/variant_figures/roussos_2024.infant.GLU/rs2004673_count_position.png",4,220,900)</f>
        <v/>
      </c>
      <c r="T1825">
        <f>IMAGE("https://mitra.stanford.edu/kundaje/oak/projects/neuro-variants/variant_position/credible/roussos_2024/variant_figures/roussos_2024.infant.GLU/rs2004673_profile_position.png",4,220,900)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-0.00238080583</v>
      </c>
      <c r="G1826" t="n">
        <v>0.6885592469935421</v>
      </c>
      <c r="H1826" t="n">
        <v>0.0099990490455035</v>
      </c>
      <c r="I1826" t="n">
        <v>0.7243877275282917</v>
      </c>
      <c r="J1826" t="n">
        <v>0.0930057981877906</v>
      </c>
      <c r="K1826" t="n">
        <v>0.2329227567337276</v>
      </c>
      <c r="L1826" t="b">
        <v>0</v>
      </c>
      <c r="M1826" t="b">
        <v>0</v>
      </c>
      <c r="N1826" t="inlineStr">
        <is>
          <t>ref</t>
        </is>
      </c>
      <c r="O1826" t="n">
        <v>-25</v>
      </c>
      <c r="P1826" t="n">
        <v>0.003548</v>
      </c>
      <c r="Q1826" t="n">
        <v>-25</v>
      </c>
      <c r="R1826" t="n">
        <v>0.02423</v>
      </c>
      <c r="S1826">
        <f>IMAGE("https://mitra.stanford.edu/kundaje/oak/projects/neuro-variants/variant_position/credible/roussos_2024/variant_figures/roussos_2024.infant.GLU/rs1078269_count_position.png",4,220,900)</f>
        <v/>
      </c>
      <c r="T1826">
        <f>IMAGE("https://mitra.stanford.edu/kundaje/oak/projects/neuro-variants/variant_position/credible/roussos_2024/variant_figures/roussos_2024.infant.GLU/rs1078269_profile_position.png",4,220,900)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0.0181398355</v>
      </c>
      <c r="G1827" t="n">
        <v>0.4596539683636522</v>
      </c>
      <c r="H1827" t="n">
        <v>0.0455234057141646</v>
      </c>
      <c r="I1827" t="n">
        <v>0.0116117324716091</v>
      </c>
      <c r="J1827" t="n">
        <v>0.0160265878877399</v>
      </c>
      <c r="K1827" t="n">
        <v>0.5800196976026583</v>
      </c>
      <c r="L1827" t="b">
        <v>1</v>
      </c>
      <c r="M1827" t="b">
        <v>0</v>
      </c>
      <c r="N1827" t="inlineStr">
        <is>
          <t>alt</t>
        </is>
      </c>
      <c r="O1827" t="n">
        <v>-65</v>
      </c>
      <c r="P1827" t="n">
        <v>0.11926</v>
      </c>
      <c r="Q1827" t="n">
        <v>-60</v>
      </c>
      <c r="R1827" t="n">
        <v>0.0813</v>
      </c>
      <c r="S1827">
        <f>IMAGE("https://mitra.stanford.edu/kundaje/oak/projects/neuro-variants/variant_position/credible/roussos_2024/variant_figures/roussos_2024.infant.GLU/rs62064660_count_position.png",4,220,900)</f>
        <v/>
      </c>
      <c r="T1827">
        <f>IMAGE("https://mitra.stanford.edu/kundaje/oak/projects/neuro-variants/variant_position/credible/roussos_2024/variant_figures/roussos_2024.infant.GLU/rs62064660_profile_position.png",4,220,900)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-0.0229798859999999</v>
      </c>
      <c r="G1828" t="n">
        <v>0.3666822404335137</v>
      </c>
      <c r="H1828" t="n">
        <v>0.0105819377203755</v>
      </c>
      <c r="I1828" t="n">
        <v>0.6771306729605377</v>
      </c>
      <c r="J1828" t="n">
        <v>0.0460592164730262</v>
      </c>
      <c r="K1828" t="n">
        <v>0.3625590038383329</v>
      </c>
      <c r="L1828" t="b">
        <v>0</v>
      </c>
      <c r="M1828" t="b">
        <v>0</v>
      </c>
      <c r="N1828" t="inlineStr">
        <is>
          <t>ref</t>
        </is>
      </c>
      <c r="O1828" t="n">
        <v>-60</v>
      </c>
      <c r="P1828" t="n">
        <v>0.007774</v>
      </c>
      <c r="Q1828" t="n">
        <v>90</v>
      </c>
      <c r="R1828" t="n">
        <v>0.001831</v>
      </c>
      <c r="S1828">
        <f>IMAGE("https://mitra.stanford.edu/kundaje/oak/projects/neuro-variants/variant_position/credible/roussos_2024/variant_figures/roussos_2024.infant.GLU/rs62064665_count_position.png",4,220,900)</f>
        <v/>
      </c>
      <c r="T1828">
        <f>IMAGE("https://mitra.stanford.edu/kundaje/oak/projects/neuro-variants/variant_position/credible/roussos_2024/variant_figures/roussos_2024.infant.GLU/rs62064665_profile_position.png",4,220,900)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0.308606918</v>
      </c>
      <c r="G1829" t="n">
        <v>0.0029598449690331</v>
      </c>
      <c r="H1829" t="n">
        <v>0.0680125363828607</v>
      </c>
      <c r="I1829" t="n">
        <v>0.0017146850106718</v>
      </c>
      <c r="J1829" t="n">
        <v>0.0845631517449679</v>
      </c>
      <c r="K1829" t="n">
        <v>0.2423068266300339</v>
      </c>
      <c r="L1829" t="b">
        <v>1</v>
      </c>
      <c r="M1829" t="b">
        <v>1</v>
      </c>
      <c r="N1829" t="inlineStr">
        <is>
          <t>alt</t>
        </is>
      </c>
      <c r="O1829" t="n">
        <v>-5</v>
      </c>
      <c r="P1829" t="n">
        <v>0.0008926</v>
      </c>
      <c r="Q1829" t="n">
        <v>95</v>
      </c>
      <c r="R1829" t="n">
        <v>0.1533</v>
      </c>
      <c r="S1829">
        <f>IMAGE("https://mitra.stanford.edu/kundaje/oak/projects/neuro-variants/variant_position/credible/roussos_2024/variant_figures/roussos_2024.infant.GLU/rs17573593_count_position.png",4,220,900)</f>
        <v/>
      </c>
      <c r="T1829">
        <f>IMAGE("https://mitra.stanford.edu/kundaje/oak/projects/neuro-variants/variant_position/credible/roussos_2024/variant_figures/roussos_2024.infant.GLU/rs17573593_profile_position.png",4,220,900)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-0.0299445994</v>
      </c>
      <c r="G1830" t="n">
        <v>0.3241428069974605</v>
      </c>
      <c r="H1830" t="n">
        <v>0.008726073731251499</v>
      </c>
      <c r="I1830" t="n">
        <v>0.8513323013008616</v>
      </c>
      <c r="J1830" t="n">
        <v>0.1640214731365329</v>
      </c>
      <c r="K1830" t="n">
        <v>0.1354632008725066</v>
      </c>
      <c r="L1830" t="b">
        <v>0</v>
      </c>
      <c r="M1830" t="b">
        <v>0</v>
      </c>
      <c r="N1830" t="inlineStr">
        <is>
          <t>ref</t>
        </is>
      </c>
      <c r="O1830" t="n">
        <v>10</v>
      </c>
      <c r="P1830" t="n">
        <v>0.001932</v>
      </c>
      <c r="Q1830" t="n">
        <v>100</v>
      </c>
      <c r="R1830" t="n">
        <v>0.128</v>
      </c>
      <c r="S1830">
        <f>IMAGE("https://mitra.stanford.edu/kundaje/oak/projects/neuro-variants/variant_position/credible/roussos_2024/variant_figures/roussos_2024.infant.GLU/rs17652337_count_position.png",4,220,900)</f>
        <v/>
      </c>
      <c r="T1830">
        <f>IMAGE("https://mitra.stanford.edu/kundaje/oak/projects/neuro-variants/variant_position/credible/roussos_2024/variant_figures/roussos_2024.infant.GLU/rs17652337_profile_position.png",4,220,900)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-0.0120944083</v>
      </c>
      <c r="G1831" t="n">
        <v>0.5933996373412306</v>
      </c>
      <c r="H1831" t="n">
        <v>0.0327846612619844</v>
      </c>
      <c r="I1831" t="n">
        <v>0.0430207604478992</v>
      </c>
      <c r="J1831" t="n">
        <v>0.09091249807094499</v>
      </c>
      <c r="K1831" t="n">
        <v>0.2252664062217407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0.4949</v>
      </c>
      <c r="Q1831" t="n">
        <v>-100</v>
      </c>
      <c r="R1831" t="n">
        <v>0.0851</v>
      </c>
      <c r="S1831">
        <f>IMAGE("https://mitra.stanford.edu/kundaje/oak/projects/neuro-variants/variant_position/credible/roussos_2024/variant_figures/roussos_2024.infant.GLU/rs74829364_count_position.png",4,220,900)</f>
        <v/>
      </c>
      <c r="T1831">
        <f>IMAGE("https://mitra.stanford.edu/kundaje/oak/projects/neuro-variants/variant_position/credible/roussos_2024/variant_figures/roussos_2024.infant.GLU/rs74829364_profile_position.png",4,220,900)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0.00228688702</v>
      </c>
      <c r="G1832" t="n">
        <v>0.8171434700307779</v>
      </c>
      <c r="H1832" t="n">
        <v>0.009620965335397601</v>
      </c>
      <c r="I1832" t="n">
        <v>0.7735214161824975</v>
      </c>
      <c r="J1832" t="n">
        <v>0.0723704226283647</v>
      </c>
      <c r="K1832" t="n">
        <v>0.2661102843357514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0.05212</v>
      </c>
      <c r="Q1832" t="n">
        <v>100</v>
      </c>
      <c r="R1832" t="n">
        <v>0.0819</v>
      </c>
      <c r="S1832">
        <f>IMAGE("https://mitra.stanford.edu/kundaje/oak/projects/neuro-variants/variant_position/credible/roussos_2024/variant_figures/roussos_2024.infant.GLU/rs62064672_count_position.png",4,220,900)</f>
        <v/>
      </c>
      <c r="T1832">
        <f>IMAGE("https://mitra.stanford.edu/kundaje/oak/projects/neuro-variants/variant_position/credible/roussos_2024/variant_figures/roussos_2024.infant.GLU/rs62064672_profile_position.png",4,220,900)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-0.00343037794</v>
      </c>
      <c r="G1833" t="n">
        <v>0.7763533791557929</v>
      </c>
      <c r="H1833" t="n">
        <v>0.0294526386900484</v>
      </c>
      <c r="I1833" t="n">
        <v>0.0611965221713424</v>
      </c>
      <c r="J1833" t="n">
        <v>0.0763938799356246</v>
      </c>
      <c r="K1833" t="n">
        <v>0.2619176698283881</v>
      </c>
      <c r="L1833" t="b">
        <v>0</v>
      </c>
      <c r="M1833" t="b">
        <v>0</v>
      </c>
      <c r="N1833" t="inlineStr">
        <is>
          <t>ref</t>
        </is>
      </c>
      <c r="O1833" t="n">
        <v>100</v>
      </c>
      <c r="P1833" t="n">
        <v>0.00409</v>
      </c>
      <c r="Q1833" t="n">
        <v>45</v>
      </c>
      <c r="R1833" t="n">
        <v>0.05615</v>
      </c>
      <c r="S1833">
        <f>IMAGE("https://mitra.stanford.edu/kundaje/oak/projects/neuro-variants/variant_position/credible/roussos_2024/variant_figures/roussos_2024.infant.GLU/rs62064674_count_position.png",4,220,900)</f>
        <v/>
      </c>
      <c r="T1833">
        <f>IMAGE("https://mitra.stanford.edu/kundaje/oak/projects/neuro-variants/variant_position/credible/roussos_2024/variant_figures/roussos_2024.infant.GLU/rs62064674_profile_position.png",4,220,900)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0.0267842066</v>
      </c>
      <c r="G1834" t="n">
        <v>0.3415701081670482</v>
      </c>
      <c r="H1834" t="n">
        <v>0.0099099032702171</v>
      </c>
      <c r="I1834" t="n">
        <v>0.7520171985971372</v>
      </c>
      <c r="J1834" t="n">
        <v>0.0575442580303797</v>
      </c>
      <c r="K1834" t="n">
        <v>0.3213969616880228</v>
      </c>
      <c r="L1834" t="b">
        <v>0</v>
      </c>
      <c r="M1834" t="b">
        <v>0</v>
      </c>
      <c r="N1834" t="inlineStr">
        <is>
          <t>alt</t>
        </is>
      </c>
      <c r="O1834" t="n">
        <v>80</v>
      </c>
      <c r="P1834" t="n">
        <v>0.006023</v>
      </c>
      <c r="Q1834" t="n">
        <v>-80</v>
      </c>
      <c r="R1834" t="n">
        <v>0.07729999999999999</v>
      </c>
      <c r="S1834">
        <f>IMAGE("https://mitra.stanford.edu/kundaje/oak/projects/neuro-variants/variant_position/credible/roussos_2024/variant_figures/roussos_2024.infant.GLU/rs76723223_count_position.png",4,220,900)</f>
        <v/>
      </c>
      <c r="T1834">
        <f>IMAGE("https://mitra.stanford.edu/kundaje/oak/projects/neuro-variants/variant_position/credible/roussos_2024/variant_figures/roussos_2024.infant.GLU/rs76723223_profile_position.png",4,220,900)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-0.0980441256</v>
      </c>
      <c r="G1835" t="n">
        <v>0.0527397346365911</v>
      </c>
      <c r="H1835" t="n">
        <v>0.0186019321712328</v>
      </c>
      <c r="I1835" t="n">
        <v>0.2195865552204855</v>
      </c>
      <c r="J1835" t="n">
        <v>0.0528605127979011</v>
      </c>
      <c r="K1835" t="n">
        <v>0.3415193461463883</v>
      </c>
      <c r="L1835" t="b">
        <v>0</v>
      </c>
      <c r="M1835" t="b">
        <v>0</v>
      </c>
      <c r="N1835" t="inlineStr">
        <is>
          <t>ref</t>
        </is>
      </c>
      <c r="O1835" t="n">
        <v>-10</v>
      </c>
      <c r="P1835" t="n">
        <v>0.001208</v>
      </c>
      <c r="Q1835" t="n">
        <v>80</v>
      </c>
      <c r="R1835" t="n">
        <v>0.12463</v>
      </c>
      <c r="S1835">
        <f>IMAGE("https://mitra.stanford.edu/kundaje/oak/projects/neuro-variants/variant_position/credible/roussos_2024/variant_figures/roussos_2024.infant.GLU/rs733966_count_position.png",4,220,900)</f>
        <v/>
      </c>
      <c r="T1835">
        <f>IMAGE("https://mitra.stanford.edu/kundaje/oak/projects/neuro-variants/variant_position/credible/roussos_2024/variant_figures/roussos_2024.infant.GLU/rs733966_profile_position.png",4,220,900)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-0.0296066907999999</v>
      </c>
      <c r="G1836" t="n">
        <v>0.3276034873502645</v>
      </c>
      <c r="H1836" t="n">
        <v>0.0097402082072155</v>
      </c>
      <c r="I1836" t="n">
        <v>0.7658523612571484</v>
      </c>
      <c r="J1836" t="n">
        <v>0.0531636499922837</v>
      </c>
      <c r="K1836" t="n">
        <v>0.3389494487003907</v>
      </c>
      <c r="L1836" t="b">
        <v>0</v>
      </c>
      <c r="M1836" t="b">
        <v>0</v>
      </c>
      <c r="N1836" t="inlineStr">
        <is>
          <t>ref</t>
        </is>
      </c>
      <c r="O1836" t="n">
        <v>85</v>
      </c>
      <c r="P1836" t="n">
        <v>0.001566</v>
      </c>
      <c r="Q1836" t="n">
        <v>-85</v>
      </c>
      <c r="R1836" t="n">
        <v>0.0803</v>
      </c>
      <c r="S1836">
        <f>IMAGE("https://mitra.stanford.edu/kundaje/oak/projects/neuro-variants/variant_position/credible/roussos_2024/variant_figures/roussos_2024.infant.GLU/rs733969_count_position.png",4,220,900)</f>
        <v/>
      </c>
      <c r="T1836">
        <f>IMAGE("https://mitra.stanford.edu/kundaje/oak/projects/neuro-variants/variant_position/credible/roussos_2024/variant_figures/roussos_2024.infant.GLU/rs733969_profile_position.png",4,220,900)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0.08616407600000001</v>
      </c>
      <c r="G1837" t="n">
        <v>0.0670979776477237</v>
      </c>
      <c r="H1837" t="n">
        <v>0.0193727003990279</v>
      </c>
      <c r="I1837" t="n">
        <v>0.1991588395054968</v>
      </c>
      <c r="J1837" t="n">
        <v>0.0549604268171696</v>
      </c>
      <c r="K1837" t="n">
        <v>0.3238980116852235</v>
      </c>
      <c r="L1837" t="b">
        <v>0</v>
      </c>
      <c r="M1837" t="b">
        <v>0</v>
      </c>
      <c r="N1837" t="inlineStr">
        <is>
          <t>alt</t>
        </is>
      </c>
      <c r="O1837" t="n">
        <v>80</v>
      </c>
      <c r="P1837" t="n">
        <v>0.01372</v>
      </c>
      <c r="Q1837" t="n">
        <v>-45</v>
      </c>
      <c r="R1837" t="n">
        <v>0.05835</v>
      </c>
      <c r="S1837">
        <f>IMAGE("https://mitra.stanford.edu/kundaje/oak/projects/neuro-variants/variant_position/credible/roussos_2024/variant_figures/roussos_2024.infant.GLU/rs4306559_count_position.png",4,220,900)</f>
        <v/>
      </c>
      <c r="T1837">
        <f>IMAGE("https://mitra.stanford.edu/kundaje/oak/projects/neuro-variants/variant_position/credible/roussos_2024/variant_figures/roussos_2024.infant.GLU/rs4306559_profile_position.png",4,220,900)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-0.02342056952</v>
      </c>
      <c r="G1838" t="n">
        <v>0.4252249222337172</v>
      </c>
      <c r="H1838" t="n">
        <v>0.0245903474415574</v>
      </c>
      <c r="I1838" t="n">
        <v>0.1069072878610311</v>
      </c>
      <c r="J1838" t="n">
        <v>0.0501576313410789</v>
      </c>
      <c r="K1838" t="n">
        <v>0.3453488593811711</v>
      </c>
      <c r="L1838" t="b">
        <v>0</v>
      </c>
      <c r="M1838" t="b">
        <v>0</v>
      </c>
      <c r="N1838" t="inlineStr">
        <is>
          <t>ref</t>
        </is>
      </c>
      <c r="O1838" t="n">
        <v>0</v>
      </c>
      <c r="P1838" t="n">
        <v>0</v>
      </c>
      <c r="Q1838" t="n">
        <v>-70</v>
      </c>
      <c r="R1838" t="n">
        <v>0.0318</v>
      </c>
      <c r="S1838">
        <f>IMAGE("https://mitra.stanford.edu/kundaje/oak/projects/neuro-variants/variant_position/credible/roussos_2024/variant_figures/roussos_2024.infant.GLU/rs62062270_count_position.png",4,220,900)</f>
        <v/>
      </c>
      <c r="T1838">
        <f>IMAGE("https://mitra.stanford.edu/kundaje/oak/projects/neuro-variants/variant_position/credible/roussos_2024/variant_figures/roussos_2024.infant.GLU/rs62062270_profile_position.png",4,220,900)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0.034325798</v>
      </c>
      <c r="G1839" t="n">
        <v>0.2713426864440733</v>
      </c>
      <c r="H1839" t="n">
        <v>0.0093885584212633</v>
      </c>
      <c r="I1839" t="n">
        <v>0.7948303832382423</v>
      </c>
      <c r="J1839" t="n">
        <v>0.0069787693732224</v>
      </c>
      <c r="K1839" t="n">
        <v>0.7089500890654615</v>
      </c>
      <c r="L1839" t="b">
        <v>0</v>
      </c>
      <c r="M1839" t="b">
        <v>0</v>
      </c>
      <c r="N1839" t="inlineStr">
        <is>
          <t>alt</t>
        </is>
      </c>
      <c r="O1839" t="n">
        <v>-80</v>
      </c>
      <c r="P1839" t="n">
        <v>0.007675</v>
      </c>
      <c r="Q1839" t="n">
        <v>-100</v>
      </c>
      <c r="R1839" t="n">
        <v>0.06128</v>
      </c>
      <c r="S1839">
        <f>IMAGE("https://mitra.stanford.edu/kundaje/oak/projects/neuro-variants/variant_position/credible/roussos_2024/variant_figures/roussos_2024.infant.GLU/rs62062275_count_position.png",4,220,900)</f>
        <v/>
      </c>
      <c r="T1839">
        <f>IMAGE("https://mitra.stanford.edu/kundaje/oak/projects/neuro-variants/variant_position/credible/roussos_2024/variant_figures/roussos_2024.infant.GLU/rs62062275_profile_position.png",4,220,900)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0.0254091044</v>
      </c>
      <c r="G1840" t="n">
        <v>0.3637194902938032</v>
      </c>
      <c r="H1840" t="n">
        <v>0.0104800429581374</v>
      </c>
      <c r="I1840" t="n">
        <v>0.6925082615096873</v>
      </c>
      <c r="J1840" t="n">
        <v>0.2472860953724729</v>
      </c>
      <c r="K1840" t="n">
        <v>0.09046248720403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0.3516</v>
      </c>
      <c r="Q1840" t="n">
        <v>-85</v>
      </c>
      <c r="R1840" t="n">
        <v>0.161</v>
      </c>
      <c r="S1840">
        <f>IMAGE("https://mitra.stanford.edu/kundaje/oak/projects/neuro-variants/variant_position/credible/roussos_2024/variant_figures/roussos_2024.infant.GLU/rs9468_count_position.png",4,220,900)</f>
        <v/>
      </c>
      <c r="T1840">
        <f>IMAGE("https://mitra.stanford.edu/kundaje/oak/projects/neuro-variants/variant_position/credible/roussos_2024/variant_figures/roussos_2024.infant.GLU/rs9468_profile_position.png",4,220,900)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0.071322992</v>
      </c>
      <c r="G1841" t="n">
        <v>0.0942572303950053</v>
      </c>
      <c r="H1841" t="n">
        <v>0.0178671329925044</v>
      </c>
      <c r="I1841" t="n">
        <v>0.2451141905758797</v>
      </c>
      <c r="J1841" t="n">
        <v>0.0947254128177428</v>
      </c>
      <c r="K1841" t="n">
        <v>0.2282863799550405</v>
      </c>
      <c r="L1841" t="b">
        <v>0</v>
      </c>
      <c r="M1841" t="b">
        <v>0</v>
      </c>
      <c r="N1841" t="inlineStr">
        <is>
          <t>alt</t>
        </is>
      </c>
      <c r="O1841" t="n">
        <v>-95</v>
      </c>
      <c r="P1841" t="n">
        <v>0.004066</v>
      </c>
      <c r="Q1841" t="n">
        <v>20</v>
      </c>
      <c r="R1841" t="n">
        <v>0.01794</v>
      </c>
      <c r="S1841">
        <f>IMAGE("https://mitra.stanford.edu/kundaje/oak/projects/neuro-variants/variant_position/credible/roussos_2024/variant_figures/roussos_2024.infant.GLU/rs1052590_count_position.png",4,220,900)</f>
        <v/>
      </c>
      <c r="T1841">
        <f>IMAGE("https://mitra.stanford.edu/kundaje/oak/projects/neuro-variants/variant_position/credible/roussos_2024/variant_figures/roussos_2024.infant.GLU/rs1052590_profile_position.png",4,220,900)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0.02589286996</v>
      </c>
      <c r="G1842" t="n">
        <v>0.3572717789064369</v>
      </c>
      <c r="H1842" t="n">
        <v>0.0142378386490889</v>
      </c>
      <c r="I1842" t="n">
        <v>0.4090905461290263</v>
      </c>
      <c r="J1842" t="n">
        <v>0.1552591547432703</v>
      </c>
      <c r="K1842" t="n">
        <v>0.1475104775055602</v>
      </c>
      <c r="L1842" t="b">
        <v>0</v>
      </c>
      <c r="M1842" t="b">
        <v>0</v>
      </c>
      <c r="N1842" t="inlineStr">
        <is>
          <t>alt</t>
        </is>
      </c>
      <c r="O1842" t="n">
        <v>-85</v>
      </c>
      <c r="P1842" t="n">
        <v>0.2917</v>
      </c>
      <c r="Q1842" t="n">
        <v>-45</v>
      </c>
      <c r="R1842" t="n">
        <v>0.1223</v>
      </c>
      <c r="S1842">
        <f>IMAGE("https://mitra.stanford.edu/kundaje/oak/projects/neuro-variants/variant_position/credible/roussos_2024/variant_figures/roussos_2024.infant.GLU/rs17652748_count_position.png",4,220,900)</f>
        <v/>
      </c>
      <c r="T1842">
        <f>IMAGE("https://mitra.stanford.edu/kundaje/oak/projects/neuro-variants/variant_position/credible/roussos_2024/variant_figures/roussos_2024.infant.GLU/rs17652748_profile_position.png",4,220,900)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0.071883662</v>
      </c>
      <c r="G1843" t="n">
        <v>0.0894597119940039</v>
      </c>
      <c r="H1843" t="n">
        <v>0.0103409546523534</v>
      </c>
      <c r="I1843" t="n">
        <v>0.700791431118826</v>
      </c>
      <c r="J1843" t="n">
        <v>0.1842489913798804</v>
      </c>
      <c r="K1843" t="n">
        <v>0.1243465535024109</v>
      </c>
      <c r="L1843" t="b">
        <v>0</v>
      </c>
      <c r="M1843" t="b">
        <v>0</v>
      </c>
      <c r="N1843" t="inlineStr">
        <is>
          <t>alt</t>
        </is>
      </c>
      <c r="O1843" t="n">
        <v>-80</v>
      </c>
      <c r="P1843" t="n">
        <v>0.02007</v>
      </c>
      <c r="Q1843" t="n">
        <v>85</v>
      </c>
      <c r="R1843" t="n">
        <v>0.0868</v>
      </c>
      <c r="S1843">
        <f>IMAGE("https://mitra.stanford.edu/kundaje/oak/projects/neuro-variants/variant_position/credible/roussos_2024/variant_figures/roussos_2024.infant.GLU/rs75010486_count_position.png",4,220,900)</f>
        <v/>
      </c>
      <c r="T1843">
        <f>IMAGE("https://mitra.stanford.edu/kundaje/oak/projects/neuro-variants/variant_position/credible/roussos_2024/variant_figures/roussos_2024.infant.GLU/rs75010486_profile_position.png",4,220,900)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0.081380994</v>
      </c>
      <c r="G1844" t="n">
        <v>0.0733951002172564</v>
      </c>
      <c r="H1844" t="n">
        <v>0.0130448293156644</v>
      </c>
      <c r="I1844" t="n">
        <v>0.4811812508093671</v>
      </c>
      <c r="J1844" t="n">
        <v>0.1894497233184152</v>
      </c>
      <c r="K1844" t="n">
        <v>0.1201041855042525</v>
      </c>
      <c r="L1844" t="b">
        <v>0</v>
      </c>
      <c r="M1844" t="b">
        <v>0</v>
      </c>
      <c r="N1844" t="inlineStr">
        <is>
          <t>alt</t>
        </is>
      </c>
      <c r="O1844" t="n">
        <v>100</v>
      </c>
      <c r="P1844" t="n">
        <v>0.01311</v>
      </c>
      <c r="Q1844" t="n">
        <v>50</v>
      </c>
      <c r="R1844" t="n">
        <v>0.0737</v>
      </c>
      <c r="S1844">
        <f>IMAGE("https://mitra.stanford.edu/kundaje/oak/projects/neuro-variants/variant_position/credible/roussos_2024/variant_figures/roussos_2024.infant.GLU/rs79772576_count_position.png",4,220,900)</f>
        <v/>
      </c>
      <c r="T1844">
        <f>IMAGE("https://mitra.stanford.edu/kundaje/oak/projects/neuro-variants/variant_position/credible/roussos_2024/variant_figures/roussos_2024.infant.GLU/rs79772576_profile_position.png",4,220,900)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0.1131467032</v>
      </c>
      <c r="G1845" t="n">
        <v>0.051929540986515</v>
      </c>
      <c r="H1845" t="n">
        <v>0.0168223425323347</v>
      </c>
      <c r="I1845" t="n">
        <v>0.2913297324218439</v>
      </c>
      <c r="J1845" t="n">
        <v>0.2953482219625652</v>
      </c>
      <c r="K1845" t="n">
        <v>0.0712581620268344</v>
      </c>
      <c r="L1845" t="b">
        <v>0</v>
      </c>
      <c r="M1845" t="b">
        <v>0</v>
      </c>
      <c r="N1845" t="inlineStr">
        <is>
          <t>alt</t>
        </is>
      </c>
      <c r="O1845" t="n">
        <v>-100</v>
      </c>
      <c r="P1845" t="n">
        <v>0.4683</v>
      </c>
      <c r="Q1845" t="n">
        <v>-35</v>
      </c>
      <c r="R1845" t="n">
        <v>0.05005</v>
      </c>
      <c r="S1845">
        <f>IMAGE("https://mitra.stanford.edu/kundaje/oak/projects/neuro-variants/variant_position/credible/roussos_2024/variant_figures/roussos_2024.infant.GLU/rs34579536_count_position.png",4,220,900)</f>
        <v/>
      </c>
      <c r="T1845">
        <f>IMAGE("https://mitra.stanford.edu/kundaje/oak/projects/neuro-variants/variant_position/credible/roussos_2024/variant_figures/roussos_2024.infant.GLU/rs34579536_profile_position.png",4,220,900)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-0.08209903939999991</v>
      </c>
      <c r="G1846" t="n">
        <v>0.0822255212627474</v>
      </c>
      <c r="H1846" t="n">
        <v>0.017718165801198</v>
      </c>
      <c r="I1846" t="n">
        <v>0.255696546789605</v>
      </c>
      <c r="J1846" t="n">
        <v>0.07665402676425841</v>
      </c>
      <c r="K1846" t="n">
        <v>0.2518637900921747</v>
      </c>
      <c r="L1846" t="b">
        <v>0</v>
      </c>
      <c r="M1846" t="b">
        <v>0</v>
      </c>
      <c r="N1846" t="inlineStr">
        <is>
          <t>ref</t>
        </is>
      </c>
      <c r="O1846" t="n">
        <v>40</v>
      </c>
      <c r="P1846" t="n">
        <v>0.03888</v>
      </c>
      <c r="Q1846" t="n">
        <v>30</v>
      </c>
      <c r="R1846" t="n">
        <v>0.06419999999999999</v>
      </c>
      <c r="S1846">
        <f>IMAGE("https://mitra.stanford.edu/kundaje/oak/projects/neuro-variants/variant_position/credible/roussos_2024/variant_figures/roussos_2024.infant.GLU/rs62062321_count_position.png",4,220,900)</f>
        <v/>
      </c>
      <c r="T1846">
        <f>IMAGE("https://mitra.stanford.edu/kundaje/oak/projects/neuro-variants/variant_position/credible/roussos_2024/variant_figures/roussos_2024.infant.GLU/rs62062321_profile_position.png",4,220,900)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-0.0189836792</v>
      </c>
      <c r="G1847" t="n">
        <v>0.4611178620240928</v>
      </c>
      <c r="H1847" t="n">
        <v>0.0320264740396502</v>
      </c>
      <c r="I1847" t="n">
        <v>0.0463411242888114</v>
      </c>
      <c r="J1847" t="n">
        <v>0.1603353248528406</v>
      </c>
      <c r="K1847" t="n">
        <v>0.1394630278415138</v>
      </c>
      <c r="L1847" t="b">
        <v>0</v>
      </c>
      <c r="M1847" t="b">
        <v>0</v>
      </c>
      <c r="N1847" t="inlineStr">
        <is>
          <t>ref</t>
        </is>
      </c>
      <c r="O1847" t="n">
        <v>-100</v>
      </c>
      <c r="P1847" t="n">
        <v>0.0297</v>
      </c>
      <c r="Q1847" t="n">
        <v>85</v>
      </c>
      <c r="R1847" t="n">
        <v>0.4507</v>
      </c>
      <c r="S1847">
        <f>IMAGE("https://mitra.stanford.edu/kundaje/oak/projects/neuro-variants/variant_position/credible/roussos_2024/variant_figures/roussos_2024.infant.GLU/rs62062322_count_position.png",4,220,900)</f>
        <v/>
      </c>
      <c r="T1847">
        <f>IMAGE("https://mitra.stanford.edu/kundaje/oak/projects/neuro-variants/variant_position/credible/roussos_2024/variant_figures/roussos_2024.infant.GLU/rs62062322_profile_position.png",4,220,900)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-0.083117704</v>
      </c>
      <c r="G1848" t="n">
        <v>0.07452450496890931</v>
      </c>
      <c r="H1848" t="n">
        <v>0.0170332910012321</v>
      </c>
      <c r="I1848" t="n">
        <v>0.2795615493064716</v>
      </c>
      <c r="J1848" t="n">
        <v>0.3058830662051632</v>
      </c>
      <c r="K1848" t="n">
        <v>0.06671454258502579</v>
      </c>
      <c r="L1848" t="b">
        <v>0</v>
      </c>
      <c r="M1848" t="b">
        <v>0</v>
      </c>
      <c r="N1848" t="inlineStr">
        <is>
          <t>ref</t>
        </is>
      </c>
      <c r="O1848" t="n">
        <v>-95</v>
      </c>
      <c r="P1848" t="n">
        <v>0.07104000000000001</v>
      </c>
      <c r="Q1848" t="n">
        <v>-60</v>
      </c>
      <c r="R1848" t="n">
        <v>0.4395</v>
      </c>
      <c r="S1848">
        <f>IMAGE("https://mitra.stanford.edu/kundaje/oak/projects/neuro-variants/variant_position/credible/roussos_2024/variant_figures/roussos_2024.infant.GLU/rs8077487_count_position.png",4,220,900)</f>
        <v/>
      </c>
      <c r="T1848">
        <f>IMAGE("https://mitra.stanford.edu/kundaje/oak/projects/neuro-variants/variant_position/credible/roussos_2024/variant_figures/roussos_2024.infant.GLU/rs8077487_profile_position.png",4,220,900)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-0.0480284252</v>
      </c>
      <c r="G1849" t="n">
        <v>0.1892532685675725</v>
      </c>
      <c r="H1849" t="n">
        <v>0.0544983603193796</v>
      </c>
      <c r="I1849" t="n">
        <v>0.0049866474646072</v>
      </c>
      <c r="J1849" t="n">
        <v>0.1903403955113648</v>
      </c>
      <c r="K1849" t="n">
        <v>0.1201915664548145</v>
      </c>
      <c r="L1849" t="b">
        <v>1</v>
      </c>
      <c r="M1849" t="b">
        <v>1</v>
      </c>
      <c r="N1849" t="inlineStr">
        <is>
          <t>ref</t>
        </is>
      </c>
      <c r="O1849" t="n">
        <v>100</v>
      </c>
      <c r="P1849" t="n">
        <v>0.0271</v>
      </c>
      <c r="Q1849" t="n">
        <v>70</v>
      </c>
      <c r="R1849" t="n">
        <v>0.26</v>
      </c>
      <c r="S1849">
        <f>IMAGE("https://mitra.stanford.edu/kundaje/oak/projects/neuro-variants/variant_position/credible/roussos_2024/variant_figures/roussos_2024.infant.GLU/rs7221390_count_position.png",4,220,900)</f>
        <v/>
      </c>
      <c r="T1849">
        <f>IMAGE("https://mitra.stanford.edu/kundaje/oak/projects/neuro-variants/variant_position/credible/roussos_2024/variant_figures/roussos_2024.infant.GLU/rs7221390_profile_position.png",4,220,900)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-0.0423409162</v>
      </c>
      <c r="G1850" t="n">
        <v>0.169331668967304</v>
      </c>
      <c r="H1850" t="n">
        <v>0.0157947644437928</v>
      </c>
      <c r="I1850" t="n">
        <v>0.3278705450769196</v>
      </c>
      <c r="J1850" t="n">
        <v>0.07558918847417261</v>
      </c>
      <c r="K1850" t="n">
        <v>0.2617312690484306</v>
      </c>
      <c r="L1850" t="b">
        <v>0</v>
      </c>
      <c r="M1850" t="b">
        <v>0</v>
      </c>
      <c r="N1850" t="inlineStr">
        <is>
          <t>ref</t>
        </is>
      </c>
      <c r="O1850" t="n">
        <v>-45</v>
      </c>
      <c r="P1850" t="n">
        <v>0.005333</v>
      </c>
      <c r="Q1850" t="n">
        <v>40</v>
      </c>
      <c r="R1850" t="n">
        <v>0.04614</v>
      </c>
      <c r="S1850">
        <f>IMAGE("https://mitra.stanford.edu/kundaje/oak/projects/neuro-variants/variant_position/credible/roussos_2024/variant_figures/roussos_2024.infant.GLU/rs62062137_count_position.png",4,220,900)</f>
        <v/>
      </c>
      <c r="T1850">
        <f>IMAGE("https://mitra.stanford.edu/kundaje/oak/projects/neuro-variants/variant_position/credible/roussos_2024/variant_figures/roussos_2024.infant.GLU/rs62062137_profile_position.png",4,220,900)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-0.01085209388</v>
      </c>
      <c r="G1851" t="n">
        <v>0.625194265064784</v>
      </c>
      <c r="H1851" t="n">
        <v>0.0106422915601646</v>
      </c>
      <c r="I1851" t="n">
        <v>0.6779199663931992</v>
      </c>
      <c r="J1851" t="n">
        <v>0.0408695077051962</v>
      </c>
      <c r="K1851" t="n">
        <v>0.383230688914851</v>
      </c>
      <c r="L1851" t="b">
        <v>0</v>
      </c>
      <c r="M1851" t="b">
        <v>0</v>
      </c>
      <c r="N1851" t="inlineStr">
        <is>
          <t>ref</t>
        </is>
      </c>
      <c r="O1851" t="n">
        <v>-100</v>
      </c>
      <c r="P1851" t="n">
        <v>0.02145</v>
      </c>
      <c r="Q1851" t="n">
        <v>50</v>
      </c>
      <c r="R1851" t="n">
        <v>0.02603</v>
      </c>
      <c r="S1851">
        <f>IMAGE("https://mitra.stanford.edu/kundaje/oak/projects/neuro-variants/variant_position/credible/roussos_2024/variant_figures/roussos_2024.infant.GLU/rs55893711_count_position.png",4,220,900)</f>
        <v/>
      </c>
      <c r="T1851">
        <f>IMAGE("https://mitra.stanford.edu/kundaje/oak/projects/neuro-variants/variant_position/credible/roussos_2024/variant_figures/roussos_2024.infant.GLU/rs55893711_profile_position.png",4,220,900)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0.1615256179999999</v>
      </c>
      <c r="G1852" t="n">
        <v>0.0171916735146152</v>
      </c>
      <c r="H1852" t="n">
        <v>0.0185539112254515</v>
      </c>
      <c r="I1852" t="n">
        <v>0.2289618521459055</v>
      </c>
      <c r="J1852" t="n">
        <v>0.039833329658943</v>
      </c>
      <c r="K1852" t="n">
        <v>0.3954003832379082</v>
      </c>
      <c r="L1852" t="b">
        <v>1</v>
      </c>
      <c r="M1852" t="b">
        <v>0</v>
      </c>
      <c r="N1852" t="inlineStr">
        <is>
          <t>alt</t>
        </is>
      </c>
      <c r="O1852" t="n">
        <v>-100</v>
      </c>
      <c r="P1852" t="n">
        <v>0.004707</v>
      </c>
      <c r="Q1852" t="n">
        <v>-80</v>
      </c>
      <c r="R1852" t="n">
        <v>0.11316</v>
      </c>
      <c r="S1852">
        <f>IMAGE("https://mitra.stanford.edu/kundaje/oak/projects/neuro-variants/variant_position/credible/roussos_2024/variant_figures/roussos_2024.infant.GLU/rs62063670_count_position.png",4,220,900)</f>
        <v/>
      </c>
      <c r="T1852">
        <f>IMAGE("https://mitra.stanford.edu/kundaje/oak/projects/neuro-variants/variant_position/credible/roussos_2024/variant_figures/roussos_2024.infant.GLU/rs62063670_profile_position.png",4,220,900)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0.02546213334</v>
      </c>
      <c r="G1853" t="n">
        <v>0.3727179905932274</v>
      </c>
      <c r="H1853" t="n">
        <v>0.0169815827439055</v>
      </c>
      <c r="I1853" t="n">
        <v>0.2725927029534524</v>
      </c>
      <c r="J1853" t="n">
        <v>0.0280054674926695</v>
      </c>
      <c r="K1853" t="n">
        <v>0.4813005905514887</v>
      </c>
      <c r="L1853" t="b">
        <v>0</v>
      </c>
      <c r="M1853" t="b">
        <v>0</v>
      </c>
      <c r="N1853" t="inlineStr">
        <is>
          <t>alt</t>
        </is>
      </c>
      <c r="O1853" t="n">
        <v>-35</v>
      </c>
      <c r="P1853" t="n">
        <v>0.004314</v>
      </c>
      <c r="Q1853" t="n">
        <v>-45</v>
      </c>
      <c r="R1853" t="n">
        <v>0.09753000000000001</v>
      </c>
      <c r="S1853">
        <f>IMAGE("https://mitra.stanford.edu/kundaje/oak/projects/neuro-variants/variant_position/credible/roussos_2024/variant_figures/roussos_2024.infant.GLU/rs79065019_count_position.png",4,220,900)</f>
        <v/>
      </c>
      <c r="T1853">
        <f>IMAGE("https://mitra.stanford.edu/kundaje/oak/projects/neuro-variants/variant_position/credible/roussos_2024/variant_figures/roussos_2024.infant.GLU/rs79065019_profile_position.png",4,220,900)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0.0038186385</v>
      </c>
      <c r="G1854" t="n">
        <v>0.7049973025506011</v>
      </c>
      <c r="H1854" t="n">
        <v>0.0239159453819746</v>
      </c>
      <c r="I1854" t="n">
        <v>0.1138360383521281</v>
      </c>
      <c r="J1854" t="n">
        <v>0.010338631804052</v>
      </c>
      <c r="K1854" t="n">
        <v>0.6588530309833506</v>
      </c>
      <c r="L1854" t="b">
        <v>0</v>
      </c>
      <c r="M1854" t="b">
        <v>0</v>
      </c>
      <c r="N1854" t="inlineStr">
        <is>
          <t>alt</t>
        </is>
      </c>
      <c r="O1854" t="n">
        <v>60</v>
      </c>
      <c r="P1854" t="n">
        <v>0.0864</v>
      </c>
      <c r="Q1854" t="n">
        <v>-95</v>
      </c>
      <c r="R1854" t="n">
        <v>0.1595</v>
      </c>
      <c r="S1854">
        <f>IMAGE("https://mitra.stanford.edu/kundaje/oak/projects/neuro-variants/variant_position/credible/roussos_2024/variant_figures/roussos_2024.infant.GLU/rs111259120_count_position.png",4,220,900)</f>
        <v/>
      </c>
      <c r="T1854">
        <f>IMAGE("https://mitra.stanford.edu/kundaje/oak/projects/neuro-variants/variant_position/credible/roussos_2024/variant_figures/roussos_2024.infant.GLU/rs111259120_profile_position.png",4,220,900)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-0.0050172039999999</v>
      </c>
      <c r="G1855" t="n">
        <v>0.6217181588110339</v>
      </c>
      <c r="H1855" t="n">
        <v>0.0201169028337749</v>
      </c>
      <c r="I1855" t="n">
        <v>0.1800008592997048</v>
      </c>
      <c r="J1855" t="n">
        <v>0.1027855552371083</v>
      </c>
      <c r="K1855" t="n">
        <v>0.206031426442234</v>
      </c>
      <c r="L1855" t="b">
        <v>0</v>
      </c>
      <c r="M1855" t="b">
        <v>0</v>
      </c>
      <c r="N1855" t="inlineStr">
        <is>
          <t>ref</t>
        </is>
      </c>
      <c r="O1855" t="n">
        <v>-75</v>
      </c>
      <c r="P1855" t="n">
        <v>0.1001</v>
      </c>
      <c r="Q1855" t="n">
        <v>-30</v>
      </c>
      <c r="R1855" t="n">
        <v>0.02698</v>
      </c>
      <c r="S1855">
        <f>IMAGE("https://mitra.stanford.edu/kundaje/oak/projects/neuro-variants/variant_position/credible/roussos_2024/variant_figures/roussos_2024.infant.GLU/rs111372048_count_position.png",4,220,900)</f>
        <v/>
      </c>
      <c r="T1855">
        <f>IMAGE("https://mitra.stanford.edu/kundaje/oak/projects/neuro-variants/variant_position/credible/roussos_2024/variant_figures/roussos_2024.infant.GLU/rs111372048_profile_position.png",4,220,900)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0.2361007</v>
      </c>
      <c r="G1856" t="n">
        <v>0.0063802328446152</v>
      </c>
      <c r="H1856" t="n">
        <v>0.0384900476917788</v>
      </c>
      <c r="I1856" t="n">
        <v>0.0234555758468547</v>
      </c>
      <c r="J1856" t="n">
        <v>0.1787418152957516</v>
      </c>
      <c r="K1856" t="n">
        <v>0.1234608215364339</v>
      </c>
      <c r="L1856" t="b">
        <v>1</v>
      </c>
      <c r="M1856" t="b">
        <v>1</v>
      </c>
      <c r="N1856" t="inlineStr">
        <is>
          <t>alt</t>
        </is>
      </c>
      <c r="O1856" t="n">
        <v>-100</v>
      </c>
      <c r="P1856" t="n">
        <v>0.10046</v>
      </c>
      <c r="Q1856" t="n">
        <v>-90</v>
      </c>
      <c r="R1856" t="n">
        <v>0.11084</v>
      </c>
      <c r="S1856">
        <f>IMAGE("https://mitra.stanford.edu/kundaje/oak/projects/neuro-variants/variant_position/credible/roussos_2024/variant_figures/roussos_2024.infant.GLU/rs62060785_count_position.png",4,220,900)</f>
        <v/>
      </c>
      <c r="T1856">
        <f>IMAGE("https://mitra.stanford.edu/kundaje/oak/projects/neuro-variants/variant_position/credible/roussos_2024/variant_figures/roussos_2024.infant.GLU/rs62060785_profile_position.png",4,220,900)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0.00919762264</v>
      </c>
      <c r="G1857" t="n">
        <v>0.561710765731815</v>
      </c>
      <c r="H1857" t="n">
        <v>0.0118358481625744</v>
      </c>
      <c r="I1857" t="n">
        <v>0.5671641847731934</v>
      </c>
      <c r="J1857" t="n">
        <v>0.1242157014043519</v>
      </c>
      <c r="K1857" t="n">
        <v>0.1743053441528251</v>
      </c>
      <c r="L1857" t="b">
        <v>0</v>
      </c>
      <c r="M1857" t="b">
        <v>0</v>
      </c>
      <c r="N1857" t="inlineStr">
        <is>
          <t>alt</t>
        </is>
      </c>
      <c r="O1857" t="n">
        <v>0</v>
      </c>
      <c r="P1857" t="n">
        <v>0</v>
      </c>
      <c r="Q1857" t="n">
        <v>-35</v>
      </c>
      <c r="R1857" t="n">
        <v>0.00464</v>
      </c>
      <c r="S1857">
        <f>IMAGE("https://mitra.stanford.edu/kundaje/oak/projects/neuro-variants/variant_position/credible/roussos_2024/variant_figures/roussos_2024.infant.GLU/rs2838_count_position.png",4,220,900)</f>
        <v/>
      </c>
      <c r="T1857">
        <f>IMAGE("https://mitra.stanford.edu/kundaje/oak/projects/neuro-variants/variant_position/credible/roussos_2024/variant_figures/roussos_2024.infant.GLU/rs2838_profile_position.png",4,220,900)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-0.016783477004</v>
      </c>
      <c r="G1858" t="n">
        <v>0.5009298084841435</v>
      </c>
      <c r="H1858" t="n">
        <v>0.0076038837474054</v>
      </c>
      <c r="I1858" t="n">
        <v>0.9339307074694998</v>
      </c>
      <c r="J1858" t="n">
        <v>0.0198483211711016</v>
      </c>
      <c r="K1858" t="n">
        <v>0.5362009237524054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0.03253</v>
      </c>
      <c r="Q1858" t="n">
        <v>0</v>
      </c>
      <c r="R1858" t="n">
        <v>0</v>
      </c>
      <c r="S1858">
        <f>IMAGE("https://mitra.stanford.edu/kundaje/oak/projects/neuro-variants/variant_position/credible/roussos_2024/variant_figures/roussos_2024.infant.GLU/rs76307183_count_position.png",4,220,900)</f>
        <v/>
      </c>
      <c r="T1858">
        <f>IMAGE("https://mitra.stanford.edu/kundaje/oak/projects/neuro-variants/variant_position/credible/roussos_2024/variant_figures/roussos_2024.infant.GLU/rs76307183_profile_position.png",4,220,900)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0.083342033</v>
      </c>
      <c r="G1859" t="n">
        <v>0.06981881852788829</v>
      </c>
      <c r="H1859" t="n">
        <v>0.0138368339022399</v>
      </c>
      <c r="I1859" t="n">
        <v>0.4285155598840596</v>
      </c>
      <c r="J1859" t="n">
        <v>0.0063515509601181</v>
      </c>
      <c r="K1859" t="n">
        <v>0.7240642195976906</v>
      </c>
      <c r="L1859" t="b">
        <v>0</v>
      </c>
      <c r="M1859" t="b">
        <v>0</v>
      </c>
      <c r="N1859" t="inlineStr">
        <is>
          <t>alt</t>
        </is>
      </c>
      <c r="O1859" t="n">
        <v>-100</v>
      </c>
      <c r="P1859" t="n">
        <v>0.03284</v>
      </c>
      <c r="Q1859" t="n">
        <v>-100</v>
      </c>
      <c r="R1859" t="n">
        <v>0.133</v>
      </c>
      <c r="S1859">
        <f>IMAGE("https://mitra.stanford.edu/kundaje/oak/projects/neuro-variants/variant_position/credible/roussos_2024/variant_figures/roussos_2024.infant.GLU/rs62060802_count_position.png",4,220,900)</f>
        <v/>
      </c>
      <c r="T1859">
        <f>IMAGE("https://mitra.stanford.edu/kundaje/oak/projects/neuro-variants/variant_position/credible/roussos_2024/variant_figures/roussos_2024.infant.GLU/rs62060802_profile_position.png",4,220,900)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0.0728519508</v>
      </c>
      <c r="G1860" t="n">
        <v>0.0898321315855244</v>
      </c>
      <c r="H1860" t="n">
        <v>0.0097600951752646</v>
      </c>
      <c r="I1860" t="n">
        <v>0.6996517606123577</v>
      </c>
      <c r="J1860" t="n">
        <v>0.0145781432571264</v>
      </c>
      <c r="K1860" t="n">
        <v>0.6020800142788721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0.06213</v>
      </c>
      <c r="Q1860" t="n">
        <v>-60</v>
      </c>
      <c r="R1860" t="n">
        <v>0.1466</v>
      </c>
      <c r="S1860">
        <f>IMAGE("https://mitra.stanford.edu/kundaje/oak/projects/neuro-variants/variant_position/credible/roussos_2024/variant_figures/roussos_2024.infant.GLU/rs62060840_count_position.png",4,220,900)</f>
        <v/>
      </c>
      <c r="T1860">
        <f>IMAGE("https://mitra.stanford.edu/kundaje/oak/projects/neuro-variants/variant_position/credible/roussos_2024/variant_figures/roussos_2024.infant.GLU/rs62060840_profile_position.png",4,220,900)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0.07850103579999999</v>
      </c>
      <c r="G1861" t="n">
        <v>0.0781495023787713</v>
      </c>
      <c r="H1861" t="n">
        <v>0.0128420489118862</v>
      </c>
      <c r="I1861" t="n">
        <v>0.4955961079758586</v>
      </c>
      <c r="J1861" t="n">
        <v>0.1133545713088912</v>
      </c>
      <c r="K1861" t="n">
        <v>0.1870733131197514</v>
      </c>
      <c r="L1861" t="b">
        <v>0</v>
      </c>
      <c r="M1861" t="b">
        <v>0</v>
      </c>
      <c r="N1861" t="inlineStr">
        <is>
          <t>alt</t>
        </is>
      </c>
      <c r="O1861" t="n">
        <v>75</v>
      </c>
      <c r="P1861" t="n">
        <v>0.002693</v>
      </c>
      <c r="Q1861" t="n">
        <v>-5</v>
      </c>
      <c r="R1861" t="n">
        <v>0.0105</v>
      </c>
      <c r="S1861">
        <f>IMAGE("https://mitra.stanford.edu/kundaje/oak/projects/neuro-variants/variant_position/credible/roussos_2024/variant_figures/roussos_2024.infant.GLU/rs17576165_count_position.png",4,220,900)</f>
        <v/>
      </c>
      <c r="T1861">
        <f>IMAGE("https://mitra.stanford.edu/kundaje/oak/projects/neuro-variants/variant_position/credible/roussos_2024/variant_figures/roussos_2024.infant.GLU/rs17576165_profile_position.png",4,220,900)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-0.2119036819999999</v>
      </c>
      <c r="G1862" t="n">
        <v>0.0087525648127757</v>
      </c>
      <c r="H1862" t="n">
        <v>0.0268239756221794</v>
      </c>
      <c r="I1862" t="n">
        <v>0.0821467894670542</v>
      </c>
      <c r="J1862" t="n">
        <v>0.0284893846866111</v>
      </c>
      <c r="K1862" t="n">
        <v>0.4614003741606358</v>
      </c>
      <c r="L1862" t="b">
        <v>1</v>
      </c>
      <c r="M1862" t="b">
        <v>1</v>
      </c>
      <c r="N1862" t="inlineStr">
        <is>
          <t>ref</t>
        </is>
      </c>
      <c r="O1862" t="n">
        <v>-95</v>
      </c>
      <c r="P1862" t="n">
        <v>0.03302</v>
      </c>
      <c r="Q1862" t="n">
        <v>-95</v>
      </c>
      <c r="R1862" t="n">
        <v>0.0326</v>
      </c>
      <c r="S1862">
        <f>IMAGE("https://mitra.stanford.edu/kundaje/oak/projects/neuro-variants/variant_position/credible/roussos_2024/variant_figures/roussos_2024.infant.GLU/rs62061812_count_position.png",4,220,900)</f>
        <v/>
      </c>
      <c r="T1862">
        <f>IMAGE("https://mitra.stanford.edu/kundaje/oak/projects/neuro-variants/variant_position/credible/roussos_2024/variant_figures/roussos_2024.infant.GLU/rs62061812_profile_position.png",4,220,900)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0.035092307</v>
      </c>
      <c r="G1863" t="n">
        <v>0.2653102655377007</v>
      </c>
      <c r="H1863" t="n">
        <v>0.0386124642325307</v>
      </c>
      <c r="I1863" t="n">
        <v>0.0232518572014769</v>
      </c>
      <c r="J1863" t="n">
        <v>0.0437134857470402</v>
      </c>
      <c r="K1863" t="n">
        <v>0.3799584401121864</v>
      </c>
      <c r="L1863" t="b">
        <v>0</v>
      </c>
      <c r="M1863" t="b">
        <v>0</v>
      </c>
      <c r="N1863" t="inlineStr">
        <is>
          <t>alt</t>
        </is>
      </c>
      <c r="O1863" t="n">
        <v>-15</v>
      </c>
      <c r="P1863" t="n">
        <v>0.01083</v>
      </c>
      <c r="Q1863" t="n">
        <v>100</v>
      </c>
      <c r="R1863" t="n">
        <v>0.0629</v>
      </c>
      <c r="S1863">
        <f>IMAGE("https://mitra.stanford.edu/kundaje/oak/projects/neuro-variants/variant_position/credible/roussos_2024/variant_figures/roussos_2024.infant.GLU/rs17576989_count_position.png",4,220,900)</f>
        <v/>
      </c>
      <c r="T1863">
        <f>IMAGE("https://mitra.stanford.edu/kundaje/oak/projects/neuro-variants/variant_position/credible/roussos_2024/variant_figures/roussos_2024.infant.GLU/rs17576989_profile_position.png",4,220,900)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0.0113843606</v>
      </c>
      <c r="G1864" t="n">
        <v>0.595616687047462</v>
      </c>
      <c r="H1864" t="n">
        <v>0.0104726890693731</v>
      </c>
      <c r="I1864" t="n">
        <v>0.6982318387339845</v>
      </c>
      <c r="J1864" t="n">
        <v>0.006696576203179</v>
      </c>
      <c r="K1864" t="n">
        <v>0.7221255358874838</v>
      </c>
      <c r="L1864" t="b">
        <v>0</v>
      </c>
      <c r="M1864" t="b">
        <v>0</v>
      </c>
      <c r="N1864" t="inlineStr">
        <is>
          <t>alt</t>
        </is>
      </c>
      <c r="O1864" t="n">
        <v>-95</v>
      </c>
      <c r="P1864" t="n">
        <v>0.0367</v>
      </c>
      <c r="Q1864" t="n">
        <v>90</v>
      </c>
      <c r="R1864" t="n">
        <v>0.06569999999999999</v>
      </c>
      <c r="S1864">
        <f>IMAGE("https://mitra.stanford.edu/kundaje/oak/projects/neuro-variants/variant_position/credible/roussos_2024/variant_figures/roussos_2024.infant.GLU/rs111295615_count_position.png",4,220,900)</f>
        <v/>
      </c>
      <c r="T1864">
        <f>IMAGE("https://mitra.stanford.edu/kundaje/oak/projects/neuro-variants/variant_position/credible/roussos_2024/variant_figures/roussos_2024.infant.GLU/rs111295615_profile_position.png",4,220,900)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0.02997895114</v>
      </c>
      <c r="G1865" t="n">
        <v>0.3142137049181797</v>
      </c>
      <c r="H1865" t="n">
        <v>0.0148147730590635</v>
      </c>
      <c r="I1865" t="n">
        <v>0.3690988488359107</v>
      </c>
      <c r="J1865" t="n">
        <v>0.0544985559646375</v>
      </c>
      <c r="K1865" t="n">
        <v>0.3337480716284897</v>
      </c>
      <c r="L1865" t="b">
        <v>0</v>
      </c>
      <c r="M1865" t="b">
        <v>0</v>
      </c>
      <c r="N1865" t="inlineStr">
        <is>
          <t>alt</t>
        </is>
      </c>
      <c r="O1865" t="n">
        <v>15</v>
      </c>
      <c r="P1865" t="n">
        <v>0.0006104</v>
      </c>
      <c r="Q1865" t="n">
        <v>80</v>
      </c>
      <c r="R1865" t="n">
        <v>0.01593</v>
      </c>
      <c r="S1865">
        <f>IMAGE("https://mitra.stanford.edu/kundaje/oak/projects/neuro-variants/variant_position/credible/roussos_2024/variant_figures/roussos_2024.infant.GLU/rs17577313_count_position.png",4,220,900)</f>
        <v/>
      </c>
      <c r="T1865">
        <f>IMAGE("https://mitra.stanford.edu/kundaje/oak/projects/neuro-variants/variant_position/credible/roussos_2024/variant_figures/roussos_2024.infant.GLU/rs17577313_profile_position.png",4,220,900)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-0.00330813452</v>
      </c>
      <c r="G1866" t="n">
        <v>0.7381424054850902</v>
      </c>
      <c r="H1866" t="n">
        <v>0.0264921435822426</v>
      </c>
      <c r="I1866" t="n">
        <v>0.08602786173751641</v>
      </c>
      <c r="J1866" t="n">
        <v>0.1063868251063735</v>
      </c>
      <c r="K1866" t="n">
        <v>0.195000410949563</v>
      </c>
      <c r="L1866" t="b">
        <v>0</v>
      </c>
      <c r="M1866" t="b">
        <v>0</v>
      </c>
      <c r="N1866" t="inlineStr">
        <is>
          <t>ref</t>
        </is>
      </c>
      <c r="O1866" t="n">
        <v>-70</v>
      </c>
      <c r="P1866" t="n">
        <v>0.007324</v>
      </c>
      <c r="Q1866" t="n">
        <v>-70</v>
      </c>
      <c r="R1866" t="n">
        <v>0.10767</v>
      </c>
      <c r="S1866">
        <f>IMAGE("https://mitra.stanford.edu/kundaje/oak/projects/neuro-variants/variant_position/credible/roussos_2024/variant_figures/roussos_2024.infant.GLU/rs4548919_count_position.png",4,220,900)</f>
        <v/>
      </c>
      <c r="T1866">
        <f>IMAGE("https://mitra.stanford.edu/kundaje/oak/projects/neuro-variants/variant_position/credible/roussos_2024/variant_figures/roussos_2024.infant.GLU/rs4548919_profile_position.png",4,220,900)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-0.0761459714</v>
      </c>
      <c r="G1867" t="n">
        <v>0.0934999998412254</v>
      </c>
      <c r="H1867" t="n">
        <v>0.0148893159062342</v>
      </c>
      <c r="I1867" t="n">
        <v>0.3708296990780439</v>
      </c>
      <c r="J1867" t="n">
        <v>0.0580645516876473</v>
      </c>
      <c r="K1867" t="n">
        <v>0.3137499349769099</v>
      </c>
      <c r="L1867" t="b">
        <v>0</v>
      </c>
      <c r="M1867" t="b">
        <v>0</v>
      </c>
      <c r="N1867" t="inlineStr">
        <is>
          <t>ref</t>
        </is>
      </c>
      <c r="O1867" t="n">
        <v>-20</v>
      </c>
      <c r="P1867" t="n">
        <v>0.001968</v>
      </c>
      <c r="Q1867" t="n">
        <v>20</v>
      </c>
      <c r="R1867" t="n">
        <v>0.01733</v>
      </c>
      <c r="S1867">
        <f>IMAGE("https://mitra.stanford.edu/kundaje/oak/projects/neuro-variants/variant_position/credible/roussos_2024/variant_figures/roussos_2024.infant.GLU/rs77560794_count_position.png",4,220,900)</f>
        <v/>
      </c>
      <c r="T1867">
        <f>IMAGE("https://mitra.stanford.edu/kundaje/oak/projects/neuro-variants/variant_position/credible/roussos_2024/variant_figures/roussos_2024.infant.GLU/rs77560794_profile_position.png",4,220,900)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0.0290283891999999</v>
      </c>
      <c r="G1868" t="n">
        <v>0.19132024058969</v>
      </c>
      <c r="H1868" t="n">
        <v>0.0174634734167622</v>
      </c>
      <c r="I1868" t="n">
        <v>0.2574408982643243</v>
      </c>
      <c r="J1868" t="n">
        <v>0.033409025772173</v>
      </c>
      <c r="K1868" t="n">
        <v>0.4309191143104858</v>
      </c>
      <c r="L1868" t="b">
        <v>0</v>
      </c>
      <c r="M1868" t="b">
        <v>0</v>
      </c>
      <c r="N1868" t="inlineStr">
        <is>
          <t>alt</t>
        </is>
      </c>
      <c r="O1868" t="n">
        <v>-50</v>
      </c>
      <c r="P1868" t="n">
        <v>0.01073</v>
      </c>
      <c r="Q1868" t="n">
        <v>75</v>
      </c>
      <c r="R1868" t="n">
        <v>0.07733</v>
      </c>
      <c r="S1868">
        <f>IMAGE("https://mitra.stanford.edu/kundaje/oak/projects/neuro-variants/variant_position/credible/roussos_2024/variant_figures/roussos_2024.infant.GLU/rs3087534_count_position.png",4,220,900)</f>
        <v/>
      </c>
      <c r="T1868">
        <f>IMAGE("https://mitra.stanford.edu/kundaje/oak/projects/neuro-variants/variant_position/credible/roussos_2024/variant_figures/roussos_2024.infant.GLU/rs3087534_profile_position.png",4,220,900)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-0.2000276179999999</v>
      </c>
      <c r="G1869" t="n">
        <v>0.0109560745036969</v>
      </c>
      <c r="H1869" t="n">
        <v>0.0329929842684966</v>
      </c>
      <c r="I1869" t="n">
        <v>0.0435780472001065</v>
      </c>
      <c r="J1869" t="n">
        <v>0.0982528274432857</v>
      </c>
      <c r="K1869" t="n">
        <v>0.2140451370432661</v>
      </c>
      <c r="L1869" t="b">
        <v>1</v>
      </c>
      <c r="M1869" t="b">
        <v>0</v>
      </c>
      <c r="N1869" t="inlineStr">
        <is>
          <t>ref</t>
        </is>
      </c>
      <c r="O1869" t="n">
        <v>-90</v>
      </c>
      <c r="P1869" t="n">
        <v>0.00479</v>
      </c>
      <c r="Q1869" t="n">
        <v>-95</v>
      </c>
      <c r="R1869" t="n">
        <v>0.0592</v>
      </c>
      <c r="S1869">
        <f>IMAGE("https://mitra.stanford.edu/kundaje/oak/projects/neuro-variants/variant_position/credible/roussos_2024/variant_figures/roussos_2024.infant.GLU/rs55672516_count_position.png",4,220,900)</f>
        <v/>
      </c>
      <c r="T1869">
        <f>IMAGE("https://mitra.stanford.edu/kundaje/oak/projects/neuro-variants/variant_position/credible/roussos_2024/variant_figures/roussos_2024.infant.GLU/rs55672516_profile_position.png",4,220,900)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-0.01110623218</v>
      </c>
      <c r="G1870" t="n">
        <v>0.6117319506691944</v>
      </c>
      <c r="H1870" t="n">
        <v>0.0108354106143723</v>
      </c>
      <c r="I1870" t="n">
        <v>0.6637438296614554</v>
      </c>
      <c r="J1870" t="n">
        <v>0.0569225512026278</v>
      </c>
      <c r="K1870" t="n">
        <v>0.3095507003879842</v>
      </c>
      <c r="L1870" t="b">
        <v>0</v>
      </c>
      <c r="M1870" t="b">
        <v>0</v>
      </c>
      <c r="N1870" t="inlineStr">
        <is>
          <t>ref</t>
        </is>
      </c>
      <c r="O1870" t="n">
        <v>-60</v>
      </c>
      <c r="P1870" t="n">
        <v>0.297</v>
      </c>
      <c r="Q1870" t="n">
        <v>-100</v>
      </c>
      <c r="R1870" t="n">
        <v>0.0977</v>
      </c>
      <c r="S1870">
        <f>IMAGE("https://mitra.stanford.edu/kundaje/oak/projects/neuro-variants/variant_position/credible/roussos_2024/variant_figures/roussos_2024.infant.GLU/rs2532307_count_position.png",4,220,900)</f>
        <v/>
      </c>
      <c r="T1870">
        <f>IMAGE("https://mitra.stanford.edu/kundaje/oak/projects/neuro-variants/variant_position/credible/roussos_2024/variant_figures/roussos_2024.infant.GLU/rs2532307_profile_position.png",4,220,900)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-0.1092262939999999</v>
      </c>
      <c r="G1871" t="n">
        <v>0.0425505561993224</v>
      </c>
      <c r="H1871" t="n">
        <v>0.014463540711522</v>
      </c>
      <c r="I1871" t="n">
        <v>0.3916503634488933</v>
      </c>
      <c r="J1871" t="n">
        <v>0.1671663837386185</v>
      </c>
      <c r="K1871" t="n">
        <v>0.1302081371964526</v>
      </c>
      <c r="L1871" t="b">
        <v>0</v>
      </c>
      <c r="M1871" t="b">
        <v>0</v>
      </c>
      <c r="N1871" t="inlineStr">
        <is>
          <t>ref</t>
        </is>
      </c>
      <c r="O1871" t="n">
        <v>95</v>
      </c>
      <c r="P1871" t="n">
        <v>0.1941</v>
      </c>
      <c r="Q1871" t="n">
        <v>-85</v>
      </c>
      <c r="R1871" t="n">
        <v>0.07996</v>
      </c>
      <c r="S1871">
        <f>IMAGE("https://mitra.stanford.edu/kundaje/oak/projects/neuro-variants/variant_position/credible/roussos_2024/variant_figures/roussos_2024.infant.GLU/rs2532276_count_position.png",4,220,900)</f>
        <v/>
      </c>
      <c r="T1871">
        <f>IMAGE("https://mitra.stanford.edu/kundaje/oak/projects/neuro-variants/variant_position/credible/roussos_2024/variant_figures/roussos_2024.infant.GLU/rs2532276_profile_position.png",4,220,900)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-0.0368413992</v>
      </c>
      <c r="G1872" t="n">
        <v>0.254932270862905</v>
      </c>
      <c r="H1872" t="n">
        <v>0.008133429134482</v>
      </c>
      <c r="I1872" t="n">
        <v>0.8944534023413141</v>
      </c>
      <c r="J1872" t="n">
        <v>0.2614464604598866</v>
      </c>
      <c r="K1872" t="n">
        <v>0.0829599211930587</v>
      </c>
      <c r="L1872" t="b">
        <v>0</v>
      </c>
      <c r="M1872" t="b">
        <v>0</v>
      </c>
      <c r="N1872" t="inlineStr">
        <is>
          <t>ref</t>
        </is>
      </c>
      <c r="O1872" t="n">
        <v>-10</v>
      </c>
      <c r="P1872" t="n">
        <v>0.01318</v>
      </c>
      <c r="Q1872" t="n">
        <v>-20</v>
      </c>
      <c r="R1872" t="n">
        <v>0.012726</v>
      </c>
      <c r="S1872">
        <f>IMAGE("https://mitra.stanford.edu/kundaje/oak/projects/neuro-variants/variant_position/credible/roussos_2024/variant_figures/roussos_2024.infant.GLU/rs2696566_count_position.png",4,220,900)</f>
        <v/>
      </c>
      <c r="T1872">
        <f>IMAGE("https://mitra.stanford.edu/kundaje/oak/projects/neuro-variants/variant_position/credible/roussos_2024/variant_figures/roussos_2024.infant.GLU/rs2696566_profile_position.png",4,220,900)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0.0056950081359999</v>
      </c>
      <c r="G1873" t="n">
        <v>0.7076440553705505</v>
      </c>
      <c r="H1873" t="n">
        <v>0.0088340588551231</v>
      </c>
      <c r="I1873" t="n">
        <v>0.8022415048217234</v>
      </c>
      <c r="J1873" t="n">
        <v>0.0206893890958794</v>
      </c>
      <c r="K1873" t="n">
        <v>0.531551486436096</v>
      </c>
      <c r="L1873" t="b">
        <v>0</v>
      </c>
      <c r="M1873" t="b">
        <v>0</v>
      </c>
      <c r="N1873" t="inlineStr">
        <is>
          <t>alt</t>
        </is>
      </c>
      <c r="O1873" t="n">
        <v>-95</v>
      </c>
      <c r="P1873" t="n">
        <v>0.02797</v>
      </c>
      <c r="Q1873" t="n">
        <v>-90</v>
      </c>
      <c r="R1873" t="n">
        <v>0.09503</v>
      </c>
      <c r="S1873">
        <f>IMAGE("https://mitra.stanford.edu/kundaje/oak/projects/neuro-variants/variant_position/credible/roussos_2024/variant_figures/roussos_2024.infant.GLU/rs199437_count_position.png",4,220,900)</f>
        <v/>
      </c>
      <c r="T1873">
        <f>IMAGE("https://mitra.stanford.edu/kundaje/oak/projects/neuro-variants/variant_position/credible/roussos_2024/variant_figures/roussos_2024.infant.GLU/rs199437_profile_position.png",4,220,900)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-0.066264012</v>
      </c>
      <c r="G1874" t="n">
        <v>0.1151551480192443</v>
      </c>
      <c r="H1874" t="n">
        <v>0.0110076683726733</v>
      </c>
      <c r="I1874" t="n">
        <v>0.6341391915653928</v>
      </c>
      <c r="J1874" t="n">
        <v>0.009538349610881999</v>
      </c>
      <c r="K1874" t="n">
        <v>0.6738175932757259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0.02017</v>
      </c>
      <c r="Q1874" t="n">
        <v>-40</v>
      </c>
      <c r="R1874" t="n">
        <v>0.0925</v>
      </c>
      <c r="S1874">
        <f>IMAGE("https://mitra.stanford.edu/kundaje/oak/projects/neuro-variants/variant_position/credible/roussos_2024/variant_figures/roussos_2024.infant.GLU/rs538628_count_position.png",4,220,900)</f>
        <v/>
      </c>
      <c r="T1874">
        <f>IMAGE("https://mitra.stanford.edu/kundaje/oak/projects/neuro-variants/variant_position/credible/roussos_2024/variant_figures/roussos_2024.infant.GLU/rs538628_profile_position.png",4,220,900)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-0.0192686364</v>
      </c>
      <c r="G1875" t="n">
        <v>0.4665578119965611</v>
      </c>
      <c r="H1875" t="n">
        <v>0.0137205347254098</v>
      </c>
      <c r="I1875" t="n">
        <v>0.4356479016869628</v>
      </c>
      <c r="J1875" t="n">
        <v>0.0011938093873321</v>
      </c>
      <c r="K1875" t="n">
        <v>0.9153703713139496</v>
      </c>
      <c r="L1875" t="b">
        <v>0</v>
      </c>
      <c r="M1875" t="b">
        <v>0</v>
      </c>
      <c r="N1875" t="inlineStr">
        <is>
          <t>ref</t>
        </is>
      </c>
      <c r="O1875" t="n">
        <v>-100</v>
      </c>
      <c r="P1875" t="n">
        <v>0.01069</v>
      </c>
      <c r="Q1875" t="n">
        <v>-95</v>
      </c>
      <c r="R1875" t="n">
        <v>0.04553</v>
      </c>
      <c r="S1875">
        <f>IMAGE("https://mitra.stanford.edu/kundaje/oak/projects/neuro-variants/variant_position/credible/roussos_2024/variant_figures/roussos_2024.infant.GLU/rs199436_count_position.png",4,220,900)</f>
        <v/>
      </c>
      <c r="T1875">
        <f>IMAGE("https://mitra.stanford.edu/kundaje/oak/projects/neuro-variants/variant_position/credible/roussos_2024/variant_figures/roussos_2024.infant.GLU/rs199436_profile_position.png",4,220,900)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0.0190361788</v>
      </c>
      <c r="G1876" t="n">
        <v>0.4500201157449396</v>
      </c>
      <c r="H1876" t="n">
        <v>0.0419602874831999</v>
      </c>
      <c r="I1876" t="n">
        <v>0.0166381966769376</v>
      </c>
      <c r="J1876" t="n">
        <v>0.0289953482219625</v>
      </c>
      <c r="K1876" t="n">
        <v>0.4748643662634947</v>
      </c>
      <c r="L1876" t="b">
        <v>1</v>
      </c>
      <c r="M1876" t="b">
        <v>0</v>
      </c>
      <c r="N1876" t="inlineStr">
        <is>
          <t>alt</t>
        </is>
      </c>
      <c r="O1876" t="n">
        <v>-90</v>
      </c>
      <c r="P1876" t="n">
        <v>0.002285</v>
      </c>
      <c r="Q1876" t="n">
        <v>-95</v>
      </c>
      <c r="R1876" t="n">
        <v>0.09669999999999999</v>
      </c>
      <c r="S1876">
        <f>IMAGE("https://mitra.stanford.edu/kundaje/oak/projects/neuro-variants/variant_position/credible/roussos_2024/variant_figures/roussos_2024.infant.GLU/rs199438_count_position.png",4,220,900)</f>
        <v/>
      </c>
      <c r="T1876">
        <f>IMAGE("https://mitra.stanford.edu/kundaje/oak/projects/neuro-variants/variant_position/credible/roussos_2024/variant_figures/roussos_2024.infant.GLU/rs199438_profile_position.png",4,220,900)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0.0329981796</v>
      </c>
      <c r="G1877" t="n">
        <v>0.2466765599861757</v>
      </c>
      <c r="H1877" t="n">
        <v>0.0139498759961421</v>
      </c>
      <c r="I1877" t="n">
        <v>0.4063489723630603</v>
      </c>
      <c r="J1877" t="n">
        <v>0.0515311184108996</v>
      </c>
      <c r="K1877" t="n">
        <v>0.3602504617501195</v>
      </c>
      <c r="L1877" t="b">
        <v>0</v>
      </c>
      <c r="M1877" t="b">
        <v>0</v>
      </c>
      <c r="N1877" t="inlineStr">
        <is>
          <t>alt</t>
        </is>
      </c>
      <c r="O1877" t="n">
        <v>-100</v>
      </c>
      <c r="P1877" t="n">
        <v>0.04742</v>
      </c>
      <c r="Q1877" t="n">
        <v>-60</v>
      </c>
      <c r="R1877" t="n">
        <v>0.2275</v>
      </c>
      <c r="S1877">
        <f>IMAGE("https://mitra.stanford.edu/kundaje/oak/projects/neuro-variants/variant_position/credible/roussos_2024/variant_figures/roussos_2024.infant.GLU/rs199453_count_position.png",4,220,900)</f>
        <v/>
      </c>
      <c r="T1877">
        <f>IMAGE("https://mitra.stanford.edu/kundaje/oak/projects/neuro-variants/variant_position/credible/roussos_2024/variant_figures/roussos_2024.infant.GLU/rs199453_profile_position.png",4,220,900)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-0.201611138</v>
      </c>
      <c r="G1878" t="n">
        <v>0.0098279132629535</v>
      </c>
      <c r="H1878" t="n">
        <v>0.0225528727037605</v>
      </c>
      <c r="I1878" t="n">
        <v>0.1365807913955964</v>
      </c>
      <c r="J1878" t="n">
        <v>0.006202738155603</v>
      </c>
      <c r="K1878" t="n">
        <v>0.7505374721081738</v>
      </c>
      <c r="L1878" t="b">
        <v>1</v>
      </c>
      <c r="M1878" t="b">
        <v>1</v>
      </c>
      <c r="N1878" t="inlineStr">
        <is>
          <t>ref</t>
        </is>
      </c>
      <c r="O1878" t="n">
        <v>-100</v>
      </c>
      <c r="P1878" t="n">
        <v>0.00733</v>
      </c>
      <c r="Q1878" t="n">
        <v>-30</v>
      </c>
      <c r="R1878" t="n">
        <v>0.01611</v>
      </c>
      <c r="S1878">
        <f>IMAGE("https://mitra.stanford.edu/kundaje/oak/projects/neuro-variants/variant_position/credible/roussos_2024/variant_figures/roussos_2024.infant.GLU/rs199451_count_position.png",4,220,900)</f>
        <v/>
      </c>
      <c r="T1878">
        <f>IMAGE("https://mitra.stanford.edu/kundaje/oak/projects/neuro-variants/variant_position/credible/roussos_2024/variant_figures/roussos_2024.infant.GLU/rs199451_profile_position.png",4,220,900)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0.0060043834</v>
      </c>
      <c r="G1879" t="n">
        <v>0.2491224463149838</v>
      </c>
      <c r="H1879" t="n">
        <v>0.015932736931182</v>
      </c>
      <c r="I1879" t="n">
        <v>0.3184431417797587</v>
      </c>
      <c r="J1879" t="n">
        <v>0.0411825657532132</v>
      </c>
      <c r="K1879" t="n">
        <v>0.3903535419898641</v>
      </c>
      <c r="L1879" t="b">
        <v>0</v>
      </c>
      <c r="M1879" t="b">
        <v>0</v>
      </c>
      <c r="N1879" t="inlineStr">
        <is>
          <t>alt</t>
        </is>
      </c>
      <c r="O1879" t="n">
        <v>40</v>
      </c>
      <c r="P1879" t="n">
        <v>0.06759999999999999</v>
      </c>
      <c r="Q1879" t="n">
        <v>40</v>
      </c>
      <c r="R1879" t="n">
        <v>0.07530000000000001</v>
      </c>
      <c r="S1879">
        <f>IMAGE("https://mitra.stanford.edu/kundaje/oak/projects/neuro-variants/variant_position/credible/roussos_2024/variant_figures/roussos_2024.infant.GLU/rs199442_count_position.png",4,220,900)</f>
        <v/>
      </c>
      <c r="T1879">
        <f>IMAGE("https://mitra.stanford.edu/kundaje/oak/projects/neuro-variants/variant_position/credible/roussos_2024/variant_figures/roussos_2024.infant.GLU/rs199442_profile_position.png",4,220,900)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-0.0217116746</v>
      </c>
      <c r="G1880" t="n">
        <v>0.423846388072413</v>
      </c>
      <c r="H1880" t="n">
        <v>0.0335756080588407</v>
      </c>
      <c r="I1880" t="n">
        <v>0.0392847944111205</v>
      </c>
      <c r="J1880" t="n">
        <v>0.0009160254855706</v>
      </c>
      <c r="K1880" t="n">
        <v>0.8990518816011688</v>
      </c>
      <c r="L1880" t="b">
        <v>0</v>
      </c>
      <c r="M1880" t="b">
        <v>0</v>
      </c>
      <c r="N1880" t="inlineStr">
        <is>
          <t>ref</t>
        </is>
      </c>
      <c r="O1880" t="n">
        <v>-100</v>
      </c>
      <c r="P1880" t="n">
        <v>0.04022</v>
      </c>
      <c r="Q1880" t="n">
        <v>60</v>
      </c>
      <c r="R1880" t="n">
        <v>0.09216000000000001</v>
      </c>
      <c r="S1880">
        <f>IMAGE("https://mitra.stanford.edu/kundaje/oak/projects/neuro-variants/variant_position/credible/roussos_2024/variant_figures/roussos_2024.infant.GLU/rs199534_count_position.png",4,220,900)</f>
        <v/>
      </c>
      <c r="T1880">
        <f>IMAGE("https://mitra.stanford.edu/kundaje/oak/projects/neuro-variants/variant_position/credible/roussos_2024/variant_figures/roussos_2024.infant.GLU/rs199534_profile_position.png",4,220,900)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0.005552104884</v>
      </c>
      <c r="G1881" t="n">
        <v>0.7211371383168131</v>
      </c>
      <c r="H1881" t="n">
        <v>0.0069009206366382</v>
      </c>
      <c r="I1881" t="n">
        <v>0.9564491086588952</v>
      </c>
      <c r="J1881" t="n">
        <v>0.1258030379858462</v>
      </c>
      <c r="K1881" t="n">
        <v>0.1728825628357007</v>
      </c>
      <c r="L1881" t="b">
        <v>0</v>
      </c>
      <c r="M1881" t="b">
        <v>0</v>
      </c>
      <c r="N1881" t="inlineStr">
        <is>
          <t>alt</t>
        </is>
      </c>
      <c r="O1881" t="n">
        <v>75</v>
      </c>
      <c r="P1881" t="n">
        <v>0.007587</v>
      </c>
      <c r="Q1881" t="n">
        <v>-100</v>
      </c>
      <c r="R1881" t="n">
        <v>0.07446</v>
      </c>
      <c r="S1881">
        <f>IMAGE("https://mitra.stanford.edu/kundaje/oak/projects/neuro-variants/variant_position/credible/roussos_2024/variant_figures/roussos_2024.infant.GLU/rs199528_count_position.png",4,220,900)</f>
        <v/>
      </c>
      <c r="T1881">
        <f>IMAGE("https://mitra.stanford.edu/kundaje/oak/projects/neuro-variants/variant_position/credible/roussos_2024/variant_figures/roussos_2024.infant.GLU/rs199528_profile_position.png",4,220,900)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-0.08673509679999999</v>
      </c>
      <c r="G1882" t="n">
        <v>0.06870951681392611</v>
      </c>
      <c r="H1882" t="n">
        <v>0.0302883221853925</v>
      </c>
      <c r="I1882" t="n">
        <v>0.061141611503638</v>
      </c>
      <c r="J1882" t="n">
        <v>0.8400030864877974</v>
      </c>
      <c r="K1882" t="n">
        <v>0.0060885170583295</v>
      </c>
      <c r="L1882" t="b">
        <v>0</v>
      </c>
      <c r="M1882" t="b">
        <v>0</v>
      </c>
      <c r="N1882" t="inlineStr">
        <is>
          <t>ref</t>
        </is>
      </c>
      <c r="O1882" t="n">
        <v>-10</v>
      </c>
      <c r="P1882" t="n">
        <v>0.002136</v>
      </c>
      <c r="Q1882" t="n">
        <v>15</v>
      </c>
      <c r="R1882" t="n">
        <v>0.01758</v>
      </c>
      <c r="S1882">
        <f>IMAGE("https://mitra.stanford.edu/kundaje/oak/projects/neuro-variants/variant_position/credible/roussos_2024/variant_figures/roussos_2024.infant.GLU/rs199523_count_position.png",4,220,900)</f>
        <v/>
      </c>
      <c r="T1882">
        <f>IMAGE("https://mitra.stanford.edu/kundaje/oak/projects/neuro-variants/variant_position/credible/roussos_2024/variant_figures/roussos_2024.infant.GLU/rs199523_profile_position.png",4,220,900)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-0.0287945852</v>
      </c>
      <c r="G1883" t="n">
        <v>0.327989330606287</v>
      </c>
      <c r="H1883" t="n">
        <v>0.0860532687422752</v>
      </c>
      <c r="I1883" t="n">
        <v>0.0004243948050443</v>
      </c>
      <c r="J1883" t="n">
        <v>0.0690259926365219</v>
      </c>
      <c r="K1883" t="n">
        <v>0.278986109143702</v>
      </c>
      <c r="L1883" t="b">
        <v>1</v>
      </c>
      <c r="M1883" t="b">
        <v>1</v>
      </c>
      <c r="N1883" t="inlineStr">
        <is>
          <t>ref</t>
        </is>
      </c>
      <c r="O1883" t="n">
        <v>-100</v>
      </c>
      <c r="P1883" t="n">
        <v>0.006958</v>
      </c>
      <c r="Q1883" t="n">
        <v>90</v>
      </c>
      <c r="R1883" t="n">
        <v>0.04364</v>
      </c>
      <c r="S1883">
        <f>IMAGE("https://mitra.stanford.edu/kundaje/oak/projects/neuro-variants/variant_position/credible/roussos_2024/variant_figures/roussos_2024.infant.GLU/rs199518_count_position.png",4,220,900)</f>
        <v/>
      </c>
      <c r="T1883">
        <f>IMAGE("https://mitra.stanford.edu/kundaje/oak/projects/neuro-variants/variant_position/credible/roussos_2024/variant_figures/roussos_2024.infant.GLU/rs199518_profile_position.png",4,220,900)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-0.00620460872</v>
      </c>
      <c r="G1884" t="n">
        <v>0.7573465569240466</v>
      </c>
      <c r="H1884" t="n">
        <v>0.0423540021081149</v>
      </c>
      <c r="I1884" t="n">
        <v>0.0160424028256359</v>
      </c>
      <c r="J1884" t="n">
        <v>0.0707081284860777</v>
      </c>
      <c r="K1884" t="n">
        <v>0.2746373676021738</v>
      </c>
      <c r="L1884" t="b">
        <v>1</v>
      </c>
      <c r="M1884" t="b">
        <v>0</v>
      </c>
      <c r="N1884" t="inlineStr">
        <is>
          <t>ref</t>
        </is>
      </c>
      <c r="O1884" t="n">
        <v>-90</v>
      </c>
      <c r="P1884" t="n">
        <v>0.00525</v>
      </c>
      <c r="Q1884" t="n">
        <v>80</v>
      </c>
      <c r="R1884" t="n">
        <v>0.02687</v>
      </c>
      <c r="S1884">
        <f>IMAGE("https://mitra.stanford.edu/kundaje/oak/projects/neuro-variants/variant_position/credible/roussos_2024/variant_figures/roussos_2024.infant.GLU/rs199517_count_position.png",4,220,900)</f>
        <v/>
      </c>
      <c r="T1884">
        <f>IMAGE("https://mitra.stanford.edu/kundaje/oak/projects/neuro-variants/variant_position/credible/roussos_2024/variant_figures/roussos_2024.infant.GLU/rs199517_profile_position.png",4,220,900)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0.0065309515999999</v>
      </c>
      <c r="G1885" t="n">
        <v>0.5931727732275084</v>
      </c>
      <c r="H1885" t="n">
        <v>0.0105892130954144</v>
      </c>
      <c r="I1885" t="n">
        <v>0.6822154020379868</v>
      </c>
      <c r="J1885" t="n">
        <v>0.5124616944818008</v>
      </c>
      <c r="K1885" t="n">
        <v>0.0292496429573353</v>
      </c>
      <c r="L1885" t="b">
        <v>0</v>
      </c>
      <c r="M1885" t="b">
        <v>0</v>
      </c>
      <c r="N1885" t="inlineStr">
        <is>
          <t>alt</t>
        </is>
      </c>
      <c r="O1885" t="n">
        <v>-100</v>
      </c>
      <c r="P1885" t="n">
        <v>0.09814000000000001</v>
      </c>
      <c r="Q1885" t="n">
        <v>90</v>
      </c>
      <c r="R1885" t="n">
        <v>0.2368</v>
      </c>
      <c r="S1885">
        <f>IMAGE("https://mitra.stanford.edu/kundaje/oak/projects/neuro-variants/variant_position/credible/roussos_2024/variant_figures/roussos_2024.infant.GLU/rs199515_count_position.png",4,220,900)</f>
        <v/>
      </c>
      <c r="T1885">
        <f>IMAGE("https://mitra.stanford.edu/kundaje/oak/projects/neuro-variants/variant_position/credible/roussos_2024/variant_figures/roussos_2024.infant.GLU/rs199515_profile_position.png",4,220,900)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-0.0228436544</v>
      </c>
      <c r="G1886" t="n">
        <v>0.4081514209993535</v>
      </c>
      <c r="H1886" t="n">
        <v>0.008360134940335899</v>
      </c>
      <c r="I1886" t="n">
        <v>0.8691053922689311</v>
      </c>
      <c r="J1886" t="n">
        <v>0.0415562512401066</v>
      </c>
      <c r="K1886" t="n">
        <v>0.3856067615493517</v>
      </c>
      <c r="L1886" t="b">
        <v>0</v>
      </c>
      <c r="M1886" t="b">
        <v>0</v>
      </c>
      <c r="N1886" t="inlineStr">
        <is>
          <t>ref</t>
        </is>
      </c>
      <c r="O1886" t="n">
        <v>-75</v>
      </c>
      <c r="P1886" t="n">
        <v>0.006165</v>
      </c>
      <c r="Q1886" t="n">
        <v>100</v>
      </c>
      <c r="R1886" t="n">
        <v>0.0641</v>
      </c>
      <c r="S1886">
        <f>IMAGE("https://mitra.stanford.edu/kundaje/oak/projects/neuro-variants/variant_position/credible/roussos_2024/variant_figures/roussos_2024.infant.GLU/rs199504_count_position.png",4,220,900)</f>
        <v/>
      </c>
      <c r="T1886">
        <f>IMAGE("https://mitra.stanford.edu/kundaje/oak/projects/neuro-variants/variant_position/credible/roussos_2024/variant_figures/roussos_2024.infant.GLU/rs199504_profile_position.png",4,220,900)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0.0152903808</v>
      </c>
      <c r="G1887" t="n">
        <v>0.5080144773096552</v>
      </c>
      <c r="H1887" t="n">
        <v>0.0363753608202912</v>
      </c>
      <c r="I1887" t="n">
        <v>0.0298442628332118</v>
      </c>
      <c r="J1887" t="n">
        <v>0.0899876540488105</v>
      </c>
      <c r="K1887" t="n">
        <v>0.2367152059146935</v>
      </c>
      <c r="L1887" t="b">
        <v>0</v>
      </c>
      <c r="M1887" t="b">
        <v>0</v>
      </c>
      <c r="N1887" t="inlineStr">
        <is>
          <t>alt</t>
        </is>
      </c>
      <c r="O1887" t="n">
        <v>75</v>
      </c>
      <c r="P1887" t="n">
        <v>0.03345</v>
      </c>
      <c r="Q1887" t="n">
        <v>-50</v>
      </c>
      <c r="R1887" t="n">
        <v>0.03394</v>
      </c>
      <c r="S1887">
        <f>IMAGE("https://mitra.stanford.edu/kundaje/oak/projects/neuro-variants/variant_position/credible/roussos_2024/variant_figures/roussos_2024.infant.GLU/rs199503_count_position.png",4,220,900)</f>
        <v/>
      </c>
      <c r="T1887">
        <f>IMAGE("https://mitra.stanford.edu/kundaje/oak/projects/neuro-variants/variant_position/credible/roussos_2024/variant_figures/roussos_2024.infant.GLU/rs199503_profile_position.png",4,220,900)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-0.0455564727</v>
      </c>
      <c r="G1888" t="n">
        <v>0.2438977142033317</v>
      </c>
      <c r="H1888" t="n">
        <v>0.0514189641305614</v>
      </c>
      <c r="I1888" t="n">
        <v>0.0066901932876064</v>
      </c>
      <c r="J1888" t="n">
        <v>0.2218798915320002</v>
      </c>
      <c r="K1888" t="n">
        <v>0.1017142055178017</v>
      </c>
      <c r="L1888" t="b">
        <v>1</v>
      </c>
      <c r="M1888" t="b">
        <v>1</v>
      </c>
      <c r="N1888" t="inlineStr">
        <is>
          <t>ref</t>
        </is>
      </c>
      <c r="O1888" t="n">
        <v>40</v>
      </c>
      <c r="P1888" t="n">
        <v>0.00525</v>
      </c>
      <c r="Q1888" t="n">
        <v>30</v>
      </c>
      <c r="R1888" t="n">
        <v>0.10547</v>
      </c>
      <c r="S1888">
        <f>IMAGE("https://mitra.stanford.edu/kundaje/oak/projects/neuro-variants/variant_position/credible/roussos_2024/variant_figures/roussos_2024.infant.GLU/rs199498_count_position.png",4,220,900)</f>
        <v/>
      </c>
      <c r="T1888">
        <f>IMAGE("https://mitra.stanford.edu/kundaje/oak/projects/neuro-variants/variant_position/credible/roussos_2024/variant_figures/roussos_2024.infant.GLU/rs199498_profile_position.png",4,220,900)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0.0569516514</v>
      </c>
      <c r="G1889" t="n">
        <v>0.1473137365157613</v>
      </c>
      <c r="H1889" t="n">
        <v>0.0112924434478801</v>
      </c>
      <c r="I1889" t="n">
        <v>0.6207866837050003</v>
      </c>
      <c r="J1889" t="n">
        <v>0.0535219030401904</v>
      </c>
      <c r="K1889" t="n">
        <v>0.3419544495242761</v>
      </c>
      <c r="L1889" t="b">
        <v>0</v>
      </c>
      <c r="M1889" t="b">
        <v>0</v>
      </c>
      <c r="N1889" t="inlineStr">
        <is>
          <t>alt</t>
        </is>
      </c>
      <c r="O1889" t="n">
        <v>-100</v>
      </c>
      <c r="P1889" t="n">
        <v>0.01978</v>
      </c>
      <c r="Q1889" t="n">
        <v>-100</v>
      </c>
      <c r="R1889" t="n">
        <v>0.1923</v>
      </c>
      <c r="S1889">
        <f>IMAGE("https://mitra.stanford.edu/kundaje/oak/projects/neuro-variants/variant_position/credible/roussos_2024/variant_figures/roussos_2024.infant.GLU/rs4968282_count_position.png",4,220,900)</f>
        <v/>
      </c>
      <c r="T1889">
        <f>IMAGE("https://mitra.stanford.edu/kundaje/oak/projects/neuro-variants/variant_position/credible/roussos_2024/variant_figures/roussos_2024.infant.GLU/rs4968282_profile_position.png",4,220,900)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0.0515276772</v>
      </c>
      <c r="G1890" t="n">
        <v>0.1658921619741008</v>
      </c>
      <c r="H1890" t="n">
        <v>0.0228241382090149</v>
      </c>
      <c r="I1890" t="n">
        <v>0.1297776320498984</v>
      </c>
      <c r="J1890" t="n">
        <v>0.0060991203509777</v>
      </c>
      <c r="K1890" t="n">
        <v>0.7446671240585655</v>
      </c>
      <c r="L1890" t="b">
        <v>0</v>
      </c>
      <c r="M1890" t="b">
        <v>0</v>
      </c>
      <c r="N1890" t="inlineStr">
        <is>
          <t>alt</t>
        </is>
      </c>
      <c r="O1890" t="n">
        <v>80</v>
      </c>
      <c r="P1890" t="n">
        <v>0.01608</v>
      </c>
      <c r="Q1890" t="n">
        <v>-50</v>
      </c>
      <c r="R1890" t="n">
        <v>0.03064</v>
      </c>
      <c r="S1890">
        <f>IMAGE("https://mitra.stanford.edu/kundaje/oak/projects/neuro-variants/variant_position/credible/roussos_2024/variant_figures/roussos_2024.infant.GLU/rs34316808_count_position.png",4,220,900)</f>
        <v/>
      </c>
      <c r="T1890">
        <f>IMAGE("https://mitra.stanford.edu/kundaje/oak/projects/neuro-variants/variant_position/credible/roussos_2024/variant_figures/roussos_2024.infant.GLU/rs34316808_profile_position.png",4,220,900)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-0.0365213323999999</v>
      </c>
      <c r="G1891" t="n">
        <v>0.2777059757376824</v>
      </c>
      <c r="H1891" t="n">
        <v>0.0132966510549002</v>
      </c>
      <c r="I1891" t="n">
        <v>0.4613134367197788</v>
      </c>
      <c r="J1891" t="n">
        <v>0.0574450494940364</v>
      </c>
      <c r="K1891" t="n">
        <v>0.335271568667649</v>
      </c>
      <c r="L1891" t="b">
        <v>0</v>
      </c>
      <c r="M1891" t="b">
        <v>0</v>
      </c>
      <c r="N1891" t="inlineStr">
        <is>
          <t>ref</t>
        </is>
      </c>
      <c r="O1891" t="n">
        <v>-60</v>
      </c>
      <c r="P1891" t="n">
        <v>0.008359999999999999</v>
      </c>
      <c r="Q1891" t="n">
        <v>40</v>
      </c>
      <c r="R1891" t="n">
        <v>0.06067</v>
      </c>
      <c r="S1891">
        <f>IMAGE("https://mitra.stanford.edu/kundaje/oak/projects/neuro-variants/variant_position/credible/roussos_2024/variant_figures/roussos_2024.infant.GLU/rs4530197_count_position.png",4,220,900)</f>
        <v/>
      </c>
      <c r="T1891">
        <f>IMAGE("https://mitra.stanford.edu/kundaje/oak/projects/neuro-variants/variant_position/credible/roussos_2024/variant_figures/roussos_2024.infant.GLU/rs4530197_profile_position.png",4,220,900)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-0.00892963944</v>
      </c>
      <c r="G1892" t="n">
        <v>0.5655725743409391</v>
      </c>
      <c r="H1892" t="n">
        <v>0.021192582340755</v>
      </c>
      <c r="I1892" t="n">
        <v>0.1579383129183635</v>
      </c>
      <c r="J1892" t="n">
        <v>0.0141008399656076</v>
      </c>
      <c r="K1892" t="n">
        <v>0.6099647314081302</v>
      </c>
      <c r="L1892" t="b">
        <v>0</v>
      </c>
      <c r="M1892" t="b">
        <v>0</v>
      </c>
      <c r="N1892" t="inlineStr">
        <is>
          <t>ref</t>
        </is>
      </c>
      <c r="O1892" t="n">
        <v>95</v>
      </c>
      <c r="P1892" t="n">
        <v>0.06335</v>
      </c>
      <c r="Q1892" t="n">
        <v>100</v>
      </c>
      <c r="R1892" t="n">
        <v>0.247</v>
      </c>
      <c r="S1892">
        <f>IMAGE("https://mitra.stanford.edu/kundaje/oak/projects/neuro-variants/variant_position/credible/roussos_2024/variant_figures/roussos_2024.infant.GLU/rs12603880_count_position.png",4,220,900)</f>
        <v/>
      </c>
      <c r="T1892">
        <f>IMAGE("https://mitra.stanford.edu/kundaje/oak/projects/neuro-variants/variant_position/credible/roussos_2024/variant_figures/roussos_2024.infant.GLU/rs12603880_profile_position.png",4,220,900)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0.0545829706</v>
      </c>
      <c r="G1893" t="n">
        <v>0.1415725710768763</v>
      </c>
      <c r="H1893" t="n">
        <v>0.011858273920185</v>
      </c>
      <c r="I1893" t="n">
        <v>0.5720139308040342</v>
      </c>
      <c r="J1893" t="n">
        <v>0.1796192596838554</v>
      </c>
      <c r="K1893" t="n">
        <v>0.1245408337067411</v>
      </c>
      <c r="L1893" t="b">
        <v>0</v>
      </c>
      <c r="M1893" t="b">
        <v>0</v>
      </c>
      <c r="N1893" t="inlineStr">
        <is>
          <t>alt</t>
        </is>
      </c>
      <c r="O1893" t="n">
        <v>100</v>
      </c>
      <c r="P1893" t="n">
        <v>0.008370000000000001</v>
      </c>
      <c r="Q1893" t="n">
        <v>100</v>
      </c>
      <c r="R1893" t="n">
        <v>0.2009</v>
      </c>
      <c r="S1893">
        <f>IMAGE("https://mitra.stanford.edu/kundaje/oak/projects/neuro-variants/variant_position/credible/roussos_2024/variant_figures/roussos_2024.infant.GLU/rs4305_count_position.png",4,220,900)</f>
        <v/>
      </c>
      <c r="T1893">
        <f>IMAGE("https://mitra.stanford.edu/kundaje/oak/projects/neuro-variants/variant_position/credible/roussos_2024/variant_figures/roussos_2024.infant.GLU/rs4305_profile_position.png",4,220,900)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-0.0029604425479999</v>
      </c>
      <c r="G1894" t="n">
        <v>0.866641909726187</v>
      </c>
      <c r="H1894" t="n">
        <v>0.0587136613970791</v>
      </c>
      <c r="I1894" t="n">
        <v>0.0034749938143606</v>
      </c>
      <c r="J1894" t="n">
        <v>0.1055071760841288</v>
      </c>
      <c r="K1894" t="n">
        <v>0.2011078269033905</v>
      </c>
      <c r="L1894" t="b">
        <v>1</v>
      </c>
      <c r="M1894" t="b">
        <v>1</v>
      </c>
      <c r="N1894" t="inlineStr">
        <is>
          <t>ref</t>
        </is>
      </c>
      <c r="O1894" t="n">
        <v>-65</v>
      </c>
      <c r="P1894" t="n">
        <v>0.02002</v>
      </c>
      <c r="Q1894" t="n">
        <v>-100</v>
      </c>
      <c r="R1894" t="n">
        <v>0.433</v>
      </c>
      <c r="S1894">
        <f>IMAGE("https://mitra.stanford.edu/kundaje/oak/projects/neuro-variants/variant_position/credible/roussos_2024/variant_figures/roussos_2024.infant.GLU/rs72855201_count_position.png",4,220,900)</f>
        <v/>
      </c>
      <c r="T1894">
        <f>IMAGE("https://mitra.stanford.edu/kundaje/oak/projects/neuro-variants/variant_position/credible/roussos_2024/variant_figures/roussos_2024.infant.GLU/rs72855201_profile_position.png",4,220,900)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-0.0135645997599999</v>
      </c>
      <c r="G1895" t="n">
        <v>0.5539178715295514</v>
      </c>
      <c r="H1895" t="n">
        <v>0.0133687983021478</v>
      </c>
      <c r="I1895" t="n">
        <v>0.4595375392252602</v>
      </c>
      <c r="J1895" t="n">
        <v>0.0346866112568619</v>
      </c>
      <c r="K1895" t="n">
        <v>0.4236346411073434</v>
      </c>
      <c r="L1895" t="b">
        <v>0</v>
      </c>
      <c r="M1895" t="b">
        <v>0</v>
      </c>
      <c r="N1895" t="inlineStr">
        <is>
          <t>ref</t>
        </is>
      </c>
      <c r="O1895" t="n">
        <v>60</v>
      </c>
      <c r="P1895" t="n">
        <v>0.001282</v>
      </c>
      <c r="Q1895" t="n">
        <v>10</v>
      </c>
      <c r="R1895" t="n">
        <v>0.00928</v>
      </c>
      <c r="S1895">
        <f>IMAGE("https://mitra.stanford.edu/kundaje/oak/projects/neuro-variants/variant_position/credible/roussos_2024/variant_figures/roussos_2024.infant.GLU/rs114177791_count_position.png",4,220,900)</f>
        <v/>
      </c>
      <c r="T1895">
        <f>IMAGE("https://mitra.stanford.edu/kundaje/oak/projects/neuro-variants/variant_position/credible/roussos_2024/variant_figures/roussos_2024.infant.GLU/rs114177791_profile_position.png",4,220,900)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0.01130874306</v>
      </c>
      <c r="G1896" t="n">
        <v>0.5135186122374489</v>
      </c>
      <c r="H1896" t="n">
        <v>0.0106178838412965</v>
      </c>
      <c r="I1896" t="n">
        <v>0.6808620520751434</v>
      </c>
      <c r="J1896" t="n">
        <v>0.0108434930223328</v>
      </c>
      <c r="K1896" t="n">
        <v>0.6812967352774717</v>
      </c>
      <c r="L1896" t="b">
        <v>0</v>
      </c>
      <c r="M1896" t="b">
        <v>0</v>
      </c>
      <c r="N1896" t="inlineStr">
        <is>
          <t>alt</t>
        </is>
      </c>
      <c r="O1896" t="n">
        <v>-75</v>
      </c>
      <c r="P1896" t="n">
        <v>0.01782</v>
      </c>
      <c r="Q1896" t="n">
        <v>55</v>
      </c>
      <c r="R1896" t="n">
        <v>0.01666</v>
      </c>
      <c r="S1896">
        <f>IMAGE("https://mitra.stanford.edu/kundaje/oak/projects/neuro-variants/variant_position/credible/roussos_2024/variant_figures/roussos_2024.infant.GLU/rs11665120_count_position.png",4,220,900)</f>
        <v/>
      </c>
      <c r="T1896">
        <f>IMAGE("https://mitra.stanford.edu/kundaje/oak/projects/neuro-variants/variant_position/credible/roussos_2024/variant_figures/roussos_2024.infant.GLU/rs11665120_profile_position.png",4,220,900)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-0.1243047092</v>
      </c>
      <c r="G1897" t="n">
        <v>0.0337398161558867</v>
      </c>
      <c r="H1897" t="n">
        <v>0.0220454590641118</v>
      </c>
      <c r="I1897" t="n">
        <v>0.1478800510693058</v>
      </c>
      <c r="J1897" t="n">
        <v>0.0006735157300645</v>
      </c>
      <c r="K1897" t="n">
        <v>0.9223312178976044</v>
      </c>
      <c r="L1897" t="b">
        <v>0</v>
      </c>
      <c r="M1897" t="b">
        <v>0</v>
      </c>
      <c r="N1897" t="inlineStr">
        <is>
          <t>ref</t>
        </is>
      </c>
      <c r="O1897" t="n">
        <v>100</v>
      </c>
      <c r="P1897" t="n">
        <v>0.0625</v>
      </c>
      <c r="Q1897" t="n">
        <v>-55</v>
      </c>
      <c r="R1897" t="n">
        <v>0.04333</v>
      </c>
      <c r="S1897">
        <f>IMAGE("https://mitra.stanford.edu/kundaje/oak/projects/neuro-variants/variant_position/credible/roussos_2024/variant_figures/roussos_2024.infant.GLU/rs113895388_count_position.png",4,220,900)</f>
        <v/>
      </c>
      <c r="T1897">
        <f>IMAGE("https://mitra.stanford.edu/kundaje/oak/projects/neuro-variants/variant_position/credible/roussos_2024/variant_figures/roussos_2024.infant.GLU/rs113895388_profile_position.png",4,220,900)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-0.176644336</v>
      </c>
      <c r="G1898" t="n">
        <v>0.0140001119200866</v>
      </c>
      <c r="H1898" t="n">
        <v>0.0483677848982418</v>
      </c>
      <c r="I1898" t="n">
        <v>0.0088610769718104</v>
      </c>
      <c r="J1898" t="n">
        <v>0.2983553429308406</v>
      </c>
      <c r="K1898" t="n">
        <v>0.068329406860483</v>
      </c>
      <c r="L1898" t="b">
        <v>1</v>
      </c>
      <c r="M1898" t="b">
        <v>1</v>
      </c>
      <c r="N1898" t="inlineStr">
        <is>
          <t>ref</t>
        </is>
      </c>
      <c r="O1898" t="n">
        <v>80</v>
      </c>
      <c r="P1898" t="n">
        <v>0.01749</v>
      </c>
      <c r="Q1898" t="n">
        <v>100</v>
      </c>
      <c r="R1898" t="n">
        <v>0.1602</v>
      </c>
      <c r="S1898">
        <f>IMAGE("https://mitra.stanford.edu/kundaje/oak/projects/neuro-variants/variant_position/credible/roussos_2024/variant_figures/roussos_2024.infant.GLU/rs188275234_count_position.png",4,220,900)</f>
        <v/>
      </c>
      <c r="T1898">
        <f>IMAGE("https://mitra.stanford.edu/kundaje/oak/projects/neuro-variants/variant_position/credible/roussos_2024/variant_figures/roussos_2024.infant.GLU/rs188275234_profile_position.png",4,220,900)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0.0247973434</v>
      </c>
      <c r="G1899" t="n">
        <v>0.3649621302081782</v>
      </c>
      <c r="H1899" t="n">
        <v>0.0608053839328492</v>
      </c>
      <c r="I1899" t="n">
        <v>0.0028792799764148</v>
      </c>
      <c r="J1899" t="n">
        <v>0.0102691858286116</v>
      </c>
      <c r="K1899" t="n">
        <v>0.6500529700299418</v>
      </c>
      <c r="L1899" t="b">
        <v>1</v>
      </c>
      <c r="M1899" t="b">
        <v>0</v>
      </c>
      <c r="N1899" t="inlineStr">
        <is>
          <t>alt</t>
        </is>
      </c>
      <c r="O1899" t="n">
        <v>-100</v>
      </c>
      <c r="P1899" t="n">
        <v>0.06226</v>
      </c>
      <c r="Q1899" t="n">
        <v>-50</v>
      </c>
      <c r="R1899" t="n">
        <v>0.1884</v>
      </c>
      <c r="S1899">
        <f>IMAGE("https://mitra.stanford.edu/kundaje/oak/projects/neuro-variants/variant_position/credible/roussos_2024/variant_figures/roussos_2024.infant.GLU/rs11083369_count_position.png",4,220,900)</f>
        <v/>
      </c>
      <c r="T1899">
        <f>IMAGE("https://mitra.stanford.edu/kundaje/oak/projects/neuro-variants/variant_position/credible/roussos_2024/variant_figures/roussos_2024.infant.GLU/rs11083369_profile_position.png",4,220,900)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-0.07302203</v>
      </c>
      <c r="G1900" t="n">
        <v>0.09595675569976379</v>
      </c>
      <c r="H1900" t="n">
        <v>0.0275895456397033</v>
      </c>
      <c r="I1900" t="n">
        <v>0.0755834668658989</v>
      </c>
      <c r="J1900" t="n">
        <v>0.1155107034987543</v>
      </c>
      <c r="K1900" t="n">
        <v>0.1849881853345953</v>
      </c>
      <c r="L1900" t="b">
        <v>0</v>
      </c>
      <c r="M1900" t="b">
        <v>0</v>
      </c>
      <c r="N1900" t="inlineStr">
        <is>
          <t>ref</t>
        </is>
      </c>
      <c r="O1900" t="n">
        <v>35</v>
      </c>
      <c r="P1900" t="n">
        <v>0.0639</v>
      </c>
      <c r="Q1900" t="n">
        <v>65</v>
      </c>
      <c r="R1900" t="n">
        <v>0.0958</v>
      </c>
      <c r="S1900">
        <f>IMAGE("https://mitra.stanford.edu/kundaje/oak/projects/neuro-variants/variant_position/credible/roussos_2024/variant_figures/roussos_2024.infant.GLU/rs7505145_count_position.png",4,220,900)</f>
        <v/>
      </c>
      <c r="T1900">
        <f>IMAGE("https://mitra.stanford.edu/kundaje/oak/projects/neuro-variants/variant_position/credible/roussos_2024/variant_figures/roussos_2024.infant.GLU/rs7505145_profile_position.png",4,220,900)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-0.00783553488</v>
      </c>
      <c r="G1901" t="n">
        <v>0.7080388952688736</v>
      </c>
      <c r="H1901" t="n">
        <v>0.008022984219471001</v>
      </c>
      <c r="I1901" t="n">
        <v>0.8997802053213987</v>
      </c>
      <c r="J1901" t="n">
        <v>0.0009292532904164</v>
      </c>
      <c r="K1901" t="n">
        <v>0.917314933980412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0.00673</v>
      </c>
      <c r="Q1901" t="n">
        <v>-25</v>
      </c>
      <c r="R1901" t="n">
        <v>0.0373</v>
      </c>
      <c r="S1901">
        <f>IMAGE("https://mitra.stanford.edu/kundaje/oak/projects/neuro-variants/variant_position/credible/roussos_2024/variant_figures/roussos_2024.infant.GLU/rs62099231_count_position.png",4,220,900)</f>
        <v/>
      </c>
      <c r="T1901">
        <f>IMAGE("https://mitra.stanford.edu/kundaje/oak/projects/neuro-variants/variant_position/credible/roussos_2024/variant_figures/roussos_2024.infant.GLU/rs62099231_profile_position.png",4,220,900)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-0.042956674</v>
      </c>
      <c r="G1902" t="n">
        <v>0.2076722187311494</v>
      </c>
      <c r="H1902" t="n">
        <v>0.0239673543663846</v>
      </c>
      <c r="I1902" t="n">
        <v>0.1128664042867561</v>
      </c>
      <c r="J1902" t="n">
        <v>0.0373332745430895</v>
      </c>
      <c r="K1902" t="n">
        <v>0.4052698518690446</v>
      </c>
      <c r="L1902" t="b">
        <v>0</v>
      </c>
      <c r="M1902" t="b">
        <v>0</v>
      </c>
      <c r="N1902" t="inlineStr">
        <is>
          <t>ref</t>
        </is>
      </c>
      <c r="O1902" t="n">
        <v>-100</v>
      </c>
      <c r="P1902" t="n">
        <v>0.05188</v>
      </c>
      <c r="Q1902" t="n">
        <v>95</v>
      </c>
      <c r="R1902" t="n">
        <v>0.0564</v>
      </c>
      <c r="S1902">
        <f>IMAGE("https://mitra.stanford.edu/kundaje/oak/projects/neuro-variants/variant_position/credible/roussos_2024/variant_figures/roussos_2024.infant.GLU/rs4100041_count_position.png",4,220,900)</f>
        <v/>
      </c>
      <c r="T1902">
        <f>IMAGE("https://mitra.stanford.edu/kundaje/oak/projects/neuro-variants/variant_position/credible/roussos_2024/variant_figures/roussos_2024.infant.GLU/rs4100041_profile_position.png",4,220,900)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-0.0394455638</v>
      </c>
      <c r="G1903" t="n">
        <v>0.2327349613163729</v>
      </c>
      <c r="H1903" t="n">
        <v>0.0927142768859041</v>
      </c>
      <c r="I1903" t="n">
        <v>0.0002847839374884</v>
      </c>
      <c r="J1903" t="n">
        <v>0.0310566811437641</v>
      </c>
      <c r="K1903" t="n">
        <v>0.4432672082400643</v>
      </c>
      <c r="L1903" t="b">
        <v>1</v>
      </c>
      <c r="M1903" t="b">
        <v>0</v>
      </c>
      <c r="N1903" t="inlineStr">
        <is>
          <t>ref</t>
        </is>
      </c>
      <c r="O1903" t="n">
        <v>95</v>
      </c>
      <c r="P1903" t="n">
        <v>0.01306</v>
      </c>
      <c r="Q1903" t="n">
        <v>95</v>
      </c>
      <c r="R1903" t="n">
        <v>0.1145</v>
      </c>
      <c r="S1903">
        <f>IMAGE("https://mitra.stanford.edu/kundaje/oak/projects/neuro-variants/variant_position/credible/roussos_2024/variant_figures/roussos_2024.infant.GLU/rs77916462_count_position.png",4,220,900)</f>
        <v/>
      </c>
      <c r="T1903">
        <f>IMAGE("https://mitra.stanford.edu/kundaje/oak/projects/neuro-variants/variant_position/credible/roussos_2024/variant_figures/roussos_2024.infant.GLU/rs77916462_profile_position.png",4,220,900)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-0.037327559</v>
      </c>
      <c r="G1904" t="n">
        <v>0.2501378930877285</v>
      </c>
      <c r="H1904" t="n">
        <v>0.0852598832424744</v>
      </c>
      <c r="I1904" t="n">
        <v>0.0004606028510899</v>
      </c>
      <c r="J1904" t="n">
        <v>0.0311856522410105</v>
      </c>
      <c r="K1904" t="n">
        <v>0.4424880974240304</v>
      </c>
      <c r="L1904" t="b">
        <v>1</v>
      </c>
      <c r="M1904" t="b">
        <v>0</v>
      </c>
      <c r="N1904" t="inlineStr">
        <is>
          <t>ref</t>
        </is>
      </c>
      <c r="O1904" t="n">
        <v>95</v>
      </c>
      <c r="P1904" t="n">
        <v>0.00903</v>
      </c>
      <c r="Q1904" t="n">
        <v>95</v>
      </c>
      <c r="R1904" t="n">
        <v>0.1049</v>
      </c>
      <c r="S1904">
        <f>IMAGE("https://mitra.stanford.edu/kundaje/oak/projects/neuro-variants/variant_position/credible/roussos_2024/variant_figures/roussos_2024.infant.GLU/rs75048819_count_position.png",4,220,900)</f>
        <v/>
      </c>
      <c r="T1904">
        <f>IMAGE("https://mitra.stanford.edu/kundaje/oak/projects/neuro-variants/variant_position/credible/roussos_2024/variant_figures/roussos_2024.infant.GLU/rs75048819_profile_position.png",4,220,900)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-0.0175816596</v>
      </c>
      <c r="G1905" t="n">
        <v>0.3808713534357194</v>
      </c>
      <c r="H1905" t="n">
        <v>0.0099144791559563</v>
      </c>
      <c r="I1905" t="n">
        <v>0.7448899012420676</v>
      </c>
      <c r="J1905" t="n">
        <v>0.0788950373685486</v>
      </c>
      <c r="K1905" t="n">
        <v>0.2477276947438031</v>
      </c>
      <c r="L1905" t="b">
        <v>0</v>
      </c>
      <c r="M1905" t="b">
        <v>0</v>
      </c>
      <c r="N1905" t="inlineStr">
        <is>
          <t>ref</t>
        </is>
      </c>
      <c r="O1905" t="n">
        <v>55</v>
      </c>
      <c r="P1905" t="n">
        <v>0.138</v>
      </c>
      <c r="Q1905" t="n">
        <v>-60</v>
      </c>
      <c r="R1905" t="n">
        <v>0.0885</v>
      </c>
      <c r="S1905">
        <f>IMAGE("https://mitra.stanford.edu/kundaje/oak/projects/neuro-variants/variant_position/credible/roussos_2024/variant_figures/roussos_2024.infant.GLU/rs138740375_count_position.png",4,220,900)</f>
        <v/>
      </c>
      <c r="T1905">
        <f>IMAGE("https://mitra.stanford.edu/kundaje/oak/projects/neuro-variants/variant_position/credible/roussos_2024/variant_figures/roussos_2024.infant.GLU/rs138740375_profile_position.png",4,220,900)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0.0376129906</v>
      </c>
      <c r="G1906" t="n">
        <v>0.2678016753661141</v>
      </c>
      <c r="H1906" t="n">
        <v>0.0360754732366265</v>
      </c>
      <c r="I1906" t="n">
        <v>0.0302050671441248</v>
      </c>
      <c r="J1906" t="n">
        <v>0.0768888203002711</v>
      </c>
      <c r="K1906" t="n">
        <v>0.2543821449523855</v>
      </c>
      <c r="L1906" t="b">
        <v>0</v>
      </c>
      <c r="M1906" t="b">
        <v>0</v>
      </c>
      <c r="N1906" t="inlineStr">
        <is>
          <t>alt</t>
        </is>
      </c>
      <c r="O1906" t="n">
        <v>-65</v>
      </c>
      <c r="P1906" t="n">
        <v>0.004414</v>
      </c>
      <c r="Q1906" t="n">
        <v>-45</v>
      </c>
      <c r="R1906" t="n">
        <v>0.03552</v>
      </c>
      <c r="S1906">
        <f>IMAGE("https://mitra.stanford.edu/kundaje/oak/projects/neuro-variants/variant_position/credible/roussos_2024/variant_figures/roussos_2024.infant.GLU/rs11874716_count_position.png",4,220,900)</f>
        <v/>
      </c>
      <c r="T1906">
        <f>IMAGE("https://mitra.stanford.edu/kundaje/oak/projects/neuro-variants/variant_position/credible/roussos_2024/variant_figures/roussos_2024.infant.GLU/rs11874716_profile_position.png",4,220,900)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0.00769358746</v>
      </c>
      <c r="G1907" t="n">
        <v>0.6941053576475736</v>
      </c>
      <c r="H1907" t="n">
        <v>0.0113181358010483</v>
      </c>
      <c r="I1907" t="n">
        <v>0.6068319444778582</v>
      </c>
      <c r="J1907" t="n">
        <v>0.0187978130029321</v>
      </c>
      <c r="K1907" t="n">
        <v>0.5485892694208763</v>
      </c>
      <c r="L1907" t="b">
        <v>0</v>
      </c>
      <c r="M1907" t="b">
        <v>0</v>
      </c>
      <c r="N1907" t="inlineStr">
        <is>
          <t>alt</t>
        </is>
      </c>
      <c r="O1907" t="n">
        <v>55</v>
      </c>
      <c r="P1907" t="n">
        <v>0.006546</v>
      </c>
      <c r="Q1907" t="n">
        <v>35</v>
      </c>
      <c r="R1907" t="n">
        <v>0.0752</v>
      </c>
      <c r="S1907">
        <f>IMAGE("https://mitra.stanford.edu/kundaje/oak/projects/neuro-variants/variant_position/credible/roussos_2024/variant_figures/roussos_2024.infant.GLU/rs4801131_count_position.png",4,220,900)</f>
        <v/>
      </c>
      <c r="T1907">
        <f>IMAGE("https://mitra.stanford.edu/kundaje/oak/projects/neuro-variants/variant_position/credible/roussos_2024/variant_figures/roussos_2024.infant.GLU/rs4801131_profile_position.png",4,220,900)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0.0246059142</v>
      </c>
      <c r="G1908" t="n">
        <v>0.3777047301922093</v>
      </c>
      <c r="H1908" t="n">
        <v>0.0209222475802336</v>
      </c>
      <c r="I1908" t="n">
        <v>0.1644624486075686</v>
      </c>
      <c r="J1908" t="n">
        <v>0.0603904407063647</v>
      </c>
      <c r="K1908" t="n">
        <v>0.3042156168776316</v>
      </c>
      <c r="L1908" t="b">
        <v>0</v>
      </c>
      <c r="M1908" t="b">
        <v>0</v>
      </c>
      <c r="N1908" t="inlineStr">
        <is>
          <t>alt</t>
        </is>
      </c>
      <c r="O1908" t="n">
        <v>-50</v>
      </c>
      <c r="P1908" t="n">
        <v>0.01491</v>
      </c>
      <c r="Q1908" t="n">
        <v>-40</v>
      </c>
      <c r="R1908" t="n">
        <v>0.09436</v>
      </c>
      <c r="S1908">
        <f>IMAGE("https://mitra.stanford.edu/kundaje/oak/projects/neuro-variants/variant_position/credible/roussos_2024/variant_figures/roussos_2024.infant.GLU/rs4589643_count_position.png",4,220,900)</f>
        <v/>
      </c>
      <c r="T1908">
        <f>IMAGE("https://mitra.stanford.edu/kundaje/oak/projects/neuro-variants/variant_position/credible/roussos_2024/variant_figures/roussos_2024.infant.GLU/rs4589643_profile_position.png",4,220,900)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-0.0209567344</v>
      </c>
      <c r="G1909" t="n">
        <v>0.3962842828680759</v>
      </c>
      <c r="H1909" t="n">
        <v>0.010299970493136</v>
      </c>
      <c r="I1909" t="n">
        <v>0.7126467604228178</v>
      </c>
      <c r="J1909" t="n">
        <v>0.0132156793580104</v>
      </c>
      <c r="K1909" t="n">
        <v>0.6181419126932627</v>
      </c>
      <c r="L1909" t="b">
        <v>0</v>
      </c>
      <c r="M1909" t="b">
        <v>0</v>
      </c>
      <c r="N1909" t="inlineStr">
        <is>
          <t>ref</t>
        </is>
      </c>
      <c r="O1909" t="n">
        <v>-100</v>
      </c>
      <c r="P1909" t="n">
        <v>0.006332</v>
      </c>
      <c r="Q1909" t="n">
        <v>-95</v>
      </c>
      <c r="R1909" t="n">
        <v>0.0598</v>
      </c>
      <c r="S1909">
        <f>IMAGE("https://mitra.stanford.edu/kundaje/oak/projects/neuro-variants/variant_position/credible/roussos_2024/variant_figures/roussos_2024.infant.GLU/rs4608411_count_position.png",4,220,900)</f>
        <v/>
      </c>
      <c r="T1909">
        <f>IMAGE("https://mitra.stanford.edu/kundaje/oak/projects/neuro-variants/variant_position/credible/roussos_2024/variant_figures/roussos_2024.infant.GLU/rs4608411_profile_position.png",4,220,900)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0.08718187199999999</v>
      </c>
      <c r="G1910" t="n">
        <v>0.0658646403034852</v>
      </c>
      <c r="H1910" t="n">
        <v>0.0193312960422795</v>
      </c>
      <c r="I1910" t="n">
        <v>0.203946725046462</v>
      </c>
      <c r="J1910" t="n">
        <v>0.0113979585087854</v>
      </c>
      <c r="K1910" t="n">
        <v>0.6517046282806347</v>
      </c>
      <c r="L1910" t="b">
        <v>0</v>
      </c>
      <c r="M1910" t="b">
        <v>0</v>
      </c>
      <c r="N1910" t="inlineStr">
        <is>
          <t>alt</t>
        </is>
      </c>
      <c r="O1910" t="n">
        <v>-100</v>
      </c>
      <c r="P1910" t="n">
        <v>0.01965</v>
      </c>
      <c r="Q1910" t="n">
        <v>-25</v>
      </c>
      <c r="R1910" t="n">
        <v>0.01416</v>
      </c>
      <c r="S1910">
        <f>IMAGE("https://mitra.stanford.edu/kundaje/oak/projects/neuro-variants/variant_position/credible/roussos_2024/variant_figures/roussos_2024.infant.GLU/rs78468782_count_position.png",4,220,900)</f>
        <v/>
      </c>
      <c r="T1910">
        <f>IMAGE("https://mitra.stanford.edu/kundaje/oak/projects/neuro-variants/variant_position/credible/roussos_2024/variant_figures/roussos_2024.infant.GLU/rs78468782_profile_position.png",4,220,900)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-0.0031890218199999</v>
      </c>
      <c r="G1911" t="n">
        <v>0.8106850148473514</v>
      </c>
      <c r="H1911" t="n">
        <v>0.0109179492050961</v>
      </c>
      <c r="I1911" t="n">
        <v>0.6538202319595008</v>
      </c>
      <c r="J1911" t="n">
        <v>0.4148107321589981</v>
      </c>
      <c r="K1911" t="n">
        <v>0.042799431646568</v>
      </c>
      <c r="L1911" t="b">
        <v>0</v>
      </c>
      <c r="M1911" t="b">
        <v>0</v>
      </c>
      <c r="N1911" t="inlineStr">
        <is>
          <t>ref</t>
        </is>
      </c>
      <c r="O1911" t="n">
        <v>25</v>
      </c>
      <c r="P1911" t="n">
        <v>0.02094</v>
      </c>
      <c r="Q1911" t="n">
        <v>-90</v>
      </c>
      <c r="R1911" t="n">
        <v>0.375</v>
      </c>
      <c r="S1911">
        <f>IMAGE("https://mitra.stanford.edu/kundaje/oak/projects/neuro-variants/variant_position/credible/roussos_2024/variant_figures/roussos_2024.infant.GLU/rs79694868_count_position.png",4,220,900)</f>
        <v/>
      </c>
      <c r="T1911">
        <f>IMAGE("https://mitra.stanford.edu/kundaje/oak/projects/neuro-variants/variant_position/credible/roussos_2024/variant_figures/roussos_2024.infant.GLU/rs79694868_profile_position.png",4,220,900)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-0.10754372</v>
      </c>
      <c r="G1912" t="n">
        <v>0.0430779330938708</v>
      </c>
      <c r="H1912" t="n">
        <v>0.019467117952131</v>
      </c>
      <c r="I1912" t="n">
        <v>0.1957048226917615</v>
      </c>
      <c r="J1912" t="n">
        <v>0.0315405983377058</v>
      </c>
      <c r="K1912" t="n">
        <v>0.4491285870027252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0.02194</v>
      </c>
      <c r="Q1912" t="n">
        <v>65</v>
      </c>
      <c r="R1912" t="n">
        <v>0.1587</v>
      </c>
      <c r="S1912">
        <f>IMAGE("https://mitra.stanford.edu/kundaje/oak/projects/neuro-variants/variant_position/credible/roussos_2024/variant_figures/roussos_2024.infant.GLU/rs9953026_count_position.png",4,220,900)</f>
        <v/>
      </c>
      <c r="T1912">
        <f>IMAGE("https://mitra.stanford.edu/kundaje/oak/projects/neuro-variants/variant_position/credible/roussos_2024/variant_figures/roussos_2024.infant.GLU/rs9953026_profile_position.png",4,220,900)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-0.1082009779999999</v>
      </c>
      <c r="G1913" t="n">
        <v>0.0429360238220375</v>
      </c>
      <c r="H1913" t="n">
        <v>0.0350339203880359</v>
      </c>
      <c r="I1913" t="n">
        <v>0.0338625933337906</v>
      </c>
      <c r="J1913" t="n">
        <v>0.1075167001036177</v>
      </c>
      <c r="K1913" t="n">
        <v>0.1924691205261315</v>
      </c>
      <c r="L1913" t="b">
        <v>0</v>
      </c>
      <c r="M1913" t="b">
        <v>0</v>
      </c>
      <c r="N1913" t="inlineStr">
        <is>
          <t>ref</t>
        </is>
      </c>
      <c r="O1913" t="n">
        <v>-25</v>
      </c>
      <c r="P1913" t="n">
        <v>0.002106</v>
      </c>
      <c r="Q1913" t="n">
        <v>80</v>
      </c>
      <c r="R1913" t="n">
        <v>0.11475</v>
      </c>
      <c r="S1913">
        <f>IMAGE("https://mitra.stanford.edu/kundaje/oak/projects/neuro-variants/variant_position/credible/roussos_2024/variant_figures/roussos_2024.infant.GLU/rs74776973_count_position.png",4,220,900)</f>
        <v/>
      </c>
      <c r="T1913">
        <f>IMAGE("https://mitra.stanford.edu/kundaje/oak/projects/neuro-variants/variant_position/credible/roussos_2024/variant_figures/roussos_2024.infant.GLU/rs74776973_profile_position.png",4,220,900)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-0.02877714092</v>
      </c>
      <c r="G1914" t="n">
        <v>0.3440662760612668</v>
      </c>
      <c r="H1914" t="n">
        <v>0.0338740263991082</v>
      </c>
      <c r="I1914" t="n">
        <v>0.0382756124380686</v>
      </c>
      <c r="J1914" t="n">
        <v>0.0197656473908154</v>
      </c>
      <c r="K1914" t="n">
        <v>0.5470726332373534</v>
      </c>
      <c r="L1914" t="b">
        <v>0</v>
      </c>
      <c r="M1914" t="b">
        <v>0</v>
      </c>
      <c r="N1914" t="inlineStr">
        <is>
          <t>ref</t>
        </is>
      </c>
      <c r="O1914" t="n">
        <v>-80</v>
      </c>
      <c r="P1914" t="n">
        <v>0.009979999999999999</v>
      </c>
      <c r="Q1914" t="n">
        <v>15</v>
      </c>
      <c r="R1914" t="n">
        <v>0.03064</v>
      </c>
      <c r="S1914">
        <f>IMAGE("https://mitra.stanford.edu/kundaje/oak/projects/neuro-variants/variant_position/credible/roussos_2024/variant_figures/roussos_2024.infant.GLU/rs79467351_count_position.png",4,220,900)</f>
        <v/>
      </c>
      <c r="T1914">
        <f>IMAGE("https://mitra.stanford.edu/kundaje/oak/projects/neuro-variants/variant_position/credible/roussos_2024/variant_figures/roussos_2024.infant.GLU/rs79467351_profile_position.png",4,220,900)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-0.009785847300000001</v>
      </c>
      <c r="G1915" t="n">
        <v>0.6316793270057389</v>
      </c>
      <c r="H1915" t="n">
        <v>0.0131560830563131</v>
      </c>
      <c r="I1915" t="n">
        <v>0.4755961248147827</v>
      </c>
      <c r="J1915" t="n">
        <v>0.1694107012941202</v>
      </c>
      <c r="K1915" t="n">
        <v>0.1355134475514794</v>
      </c>
      <c r="L1915" t="b">
        <v>0</v>
      </c>
      <c r="M1915" t="b">
        <v>0</v>
      </c>
      <c r="N1915" t="inlineStr">
        <is>
          <t>ref</t>
        </is>
      </c>
      <c r="O1915" t="n">
        <v>100</v>
      </c>
      <c r="P1915" t="n">
        <v>0.01005</v>
      </c>
      <c r="Q1915" t="n">
        <v>100</v>
      </c>
      <c r="R1915" t="n">
        <v>0.03427</v>
      </c>
      <c r="S1915">
        <f>IMAGE("https://mitra.stanford.edu/kundaje/oak/projects/neuro-variants/variant_position/credible/roussos_2024/variant_figures/roussos_2024.infant.GLU/rs76339649_count_position.png",4,220,900)</f>
        <v/>
      </c>
      <c r="T1915">
        <f>IMAGE("https://mitra.stanford.edu/kundaje/oak/projects/neuro-variants/variant_position/credible/roussos_2024/variant_figures/roussos_2024.infant.GLU/rs76339649_profile_position.png",4,220,900)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-0.300886176</v>
      </c>
      <c r="G1916" t="n">
        <v>0.0031683020515538</v>
      </c>
      <c r="H1916" t="n">
        <v>0.0435644449830545</v>
      </c>
      <c r="I1916" t="n">
        <v>0.0147779019392065</v>
      </c>
      <c r="J1916" t="n">
        <v>0.4130205692365352</v>
      </c>
      <c r="K1916" t="n">
        <v>0.0429262643754269</v>
      </c>
      <c r="L1916" t="b">
        <v>1</v>
      </c>
      <c r="M1916" t="b">
        <v>1</v>
      </c>
      <c r="N1916" t="inlineStr">
        <is>
          <t>ref</t>
        </is>
      </c>
      <c r="O1916" t="n">
        <v>80</v>
      </c>
      <c r="P1916" t="n">
        <v>0.03943</v>
      </c>
      <c r="Q1916" t="n">
        <v>80</v>
      </c>
      <c r="R1916" t="n">
        <v>0.08790000000000001</v>
      </c>
      <c r="S1916">
        <f>IMAGE("https://mitra.stanford.edu/kundaje/oak/projects/neuro-variants/variant_position/credible/roussos_2024/variant_figures/roussos_2024.infant.GLU/rs187698281_count_position.png",4,220,900)</f>
        <v/>
      </c>
      <c r="T1916">
        <f>IMAGE("https://mitra.stanford.edu/kundaje/oak/projects/neuro-variants/variant_position/credible/roussos_2024/variant_figures/roussos_2024.infant.GLU/rs187698281_profile_position.png",4,220,900)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0.0558994605999999</v>
      </c>
      <c r="G1917" t="n">
        <v>0.1357298230076626</v>
      </c>
      <c r="H1917" t="n">
        <v>0.0153293005672008</v>
      </c>
      <c r="I1917" t="n">
        <v>0.3431717227344346</v>
      </c>
      <c r="J1917" t="n">
        <v>0.1105778346083466</v>
      </c>
      <c r="K1917" t="n">
        <v>0.1920578590706864</v>
      </c>
      <c r="L1917" t="b">
        <v>0</v>
      </c>
      <c r="M1917" t="b">
        <v>0</v>
      </c>
      <c r="N1917" t="inlineStr">
        <is>
          <t>alt</t>
        </is>
      </c>
      <c r="O1917" t="n">
        <v>100</v>
      </c>
      <c r="P1917" t="n">
        <v>0.02118</v>
      </c>
      <c r="Q1917" t="n">
        <v>-15</v>
      </c>
      <c r="R1917" t="n">
        <v>0.05786</v>
      </c>
      <c r="S1917">
        <f>IMAGE("https://mitra.stanford.edu/kundaje/oak/projects/neuro-variants/variant_position/credible/roussos_2024/variant_figures/roussos_2024.infant.GLU/rs116959829_count_position.png",4,220,900)</f>
        <v/>
      </c>
      <c r="T1917">
        <f>IMAGE("https://mitra.stanford.edu/kundaje/oak/projects/neuro-variants/variant_position/credible/roussos_2024/variant_figures/roussos_2024.infant.GLU/rs116959829_profile_position.png",4,220,900)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-0.024127597</v>
      </c>
      <c r="G1918" t="n">
        <v>0.3925646498804777</v>
      </c>
      <c r="H1918" t="n">
        <v>0.0066720304645832</v>
      </c>
      <c r="I1918" t="n">
        <v>0.9697243670294108</v>
      </c>
      <c r="J1918" t="n">
        <v>0.2076941731519654</v>
      </c>
      <c r="K1918" t="n">
        <v>0.1052851368459738</v>
      </c>
      <c r="L1918" t="b">
        <v>0</v>
      </c>
      <c r="M1918" t="b">
        <v>0</v>
      </c>
      <c r="N1918" t="inlineStr">
        <is>
          <t>ref</t>
        </is>
      </c>
      <c r="O1918" t="n">
        <v>90</v>
      </c>
      <c r="P1918" t="n">
        <v>0.0293</v>
      </c>
      <c r="Q1918" t="n">
        <v>95</v>
      </c>
      <c r="R1918" t="n">
        <v>0.281</v>
      </c>
      <c r="S1918">
        <f>IMAGE("https://mitra.stanford.edu/kundaje/oak/projects/neuro-variants/variant_position/credible/roussos_2024/variant_figures/roussos_2024.infant.GLU/rs73487018_count_position.png",4,220,900)</f>
        <v/>
      </c>
      <c r="T1918">
        <f>IMAGE("https://mitra.stanford.edu/kundaje/oak/projects/neuro-variants/variant_position/credible/roussos_2024/variant_figures/roussos_2024.infant.GLU/rs73487018_profile_position.png",4,220,900)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-0.01934618238</v>
      </c>
      <c r="G1919" t="n">
        <v>0.4131944124698963</v>
      </c>
      <c r="H1919" t="n">
        <v>0.0265469450972539</v>
      </c>
      <c r="I1919" t="n">
        <v>0.0841461019469317</v>
      </c>
      <c r="J1919" t="n">
        <v>0.2770012566414603</v>
      </c>
      <c r="K1919" t="n">
        <v>0.0754427949211578</v>
      </c>
      <c r="L1919" t="b">
        <v>0</v>
      </c>
      <c r="M1919" t="b">
        <v>0</v>
      </c>
      <c r="N1919" t="inlineStr">
        <is>
          <t>ref</t>
        </is>
      </c>
      <c r="O1919" t="n">
        <v>85</v>
      </c>
      <c r="P1919" t="n">
        <v>0.05762</v>
      </c>
      <c r="Q1919" t="n">
        <v>40</v>
      </c>
      <c r="R1919" t="n">
        <v>0.02979</v>
      </c>
      <c r="S1919">
        <f>IMAGE("https://mitra.stanford.edu/kundaje/oak/projects/neuro-variants/variant_position/credible/roussos_2024/variant_figures/roussos_2024.infant.GLU/rs73487023_count_position.png",4,220,900)</f>
        <v/>
      </c>
      <c r="T1919">
        <f>IMAGE("https://mitra.stanford.edu/kundaje/oak/projects/neuro-variants/variant_position/credible/roussos_2024/variant_figures/roussos_2024.infant.GLU/rs73487023_profile_position.png",4,220,900)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-0.0562778625999999</v>
      </c>
      <c r="G1920" t="n">
        <v>0.1475885611691209</v>
      </c>
      <c r="H1920" t="n">
        <v>0.0449272496029036</v>
      </c>
      <c r="I1920" t="n">
        <v>0.0123012425022408</v>
      </c>
      <c r="J1920" t="n">
        <v>0.021397076655129</v>
      </c>
      <c r="K1920" t="n">
        <v>0.5331756938949981</v>
      </c>
      <c r="L1920" t="b">
        <v>1</v>
      </c>
      <c r="M1920" t="b">
        <v>0</v>
      </c>
      <c r="N1920" t="inlineStr">
        <is>
          <t>ref</t>
        </is>
      </c>
      <c r="O1920" t="n">
        <v>50</v>
      </c>
      <c r="P1920" t="n">
        <v>0.11456</v>
      </c>
      <c r="Q1920" t="n">
        <v>75</v>
      </c>
      <c r="R1920" t="n">
        <v>0.10876</v>
      </c>
      <c r="S1920">
        <f>IMAGE("https://mitra.stanford.edu/kundaje/oak/projects/neuro-variants/variant_position/credible/roussos_2024/variant_figures/roussos_2024.infant.GLU/rs150458109_count_position.png",4,220,900)</f>
        <v/>
      </c>
      <c r="T1920">
        <f>IMAGE("https://mitra.stanford.edu/kundaje/oak/projects/neuro-variants/variant_position/credible/roussos_2024/variant_figures/roussos_2024.infant.GLU/rs150458109_profile_position.png",4,220,900)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-0.00852039152</v>
      </c>
      <c r="G1921" t="n">
        <v>0.6859974441807172</v>
      </c>
      <c r="H1921" t="n">
        <v>0.0287149784993407</v>
      </c>
      <c r="I1921" t="n">
        <v>0.0665225586533446</v>
      </c>
      <c r="J1921" t="n">
        <v>0.0166813642276063</v>
      </c>
      <c r="K1921" t="n">
        <v>0.5741610619577068</v>
      </c>
      <c r="L1921" t="b">
        <v>0</v>
      </c>
      <c r="M1921" t="b">
        <v>0</v>
      </c>
      <c r="N1921" t="inlineStr">
        <is>
          <t>ref</t>
        </is>
      </c>
      <c r="O1921" t="n">
        <v>50</v>
      </c>
      <c r="P1921" t="n">
        <v>0.02051</v>
      </c>
      <c r="Q1921" t="n">
        <v>15</v>
      </c>
      <c r="R1921" t="n">
        <v>0.02832</v>
      </c>
      <c r="S1921">
        <f>IMAGE("https://mitra.stanford.edu/kundaje/oak/projects/neuro-variants/variant_position/credible/roussos_2024/variant_figures/roussos_2024.infant.GLU/rs142300078_count_position.png",4,220,900)</f>
        <v/>
      </c>
      <c r="T1921">
        <f>IMAGE("https://mitra.stanford.edu/kundaje/oak/projects/neuro-variants/variant_position/credible/roussos_2024/variant_figures/roussos_2024.infant.GLU/rs142300078_profile_position.png",4,220,900)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-0.01335942034</v>
      </c>
      <c r="G1922" t="n">
        <v>0.5946555904551543</v>
      </c>
      <c r="H1922" t="n">
        <v>0.0122280015680694</v>
      </c>
      <c r="I1922" t="n">
        <v>0.5425891215742638</v>
      </c>
      <c r="J1922" t="n">
        <v>0.1228333957979672</v>
      </c>
      <c r="K1922" t="n">
        <v>0.1757167182458009</v>
      </c>
      <c r="L1922" t="b">
        <v>0</v>
      </c>
      <c r="M1922" t="b">
        <v>0</v>
      </c>
      <c r="N1922" t="inlineStr">
        <is>
          <t>ref</t>
        </is>
      </c>
      <c r="O1922" t="n">
        <v>85</v>
      </c>
      <c r="P1922" t="n">
        <v>0.004593</v>
      </c>
      <c r="Q1922" t="n">
        <v>-85</v>
      </c>
      <c r="R1922" t="n">
        <v>0.07715</v>
      </c>
      <c r="S1922">
        <f>IMAGE("https://mitra.stanford.edu/kundaje/oak/projects/neuro-variants/variant_position/credible/roussos_2024/variant_figures/roussos_2024.infant.GLU/rs146016468_count_position.png",4,220,900)</f>
        <v/>
      </c>
      <c r="T1922">
        <f>IMAGE("https://mitra.stanford.edu/kundaje/oak/projects/neuro-variants/variant_position/credible/roussos_2024/variant_figures/roussos_2024.infant.GLU/rs146016468_profile_position.png",4,220,900)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0.003374424236</v>
      </c>
      <c r="G1923" t="n">
        <v>0.7323142809353886</v>
      </c>
      <c r="H1923" t="n">
        <v>0.0356861025293257</v>
      </c>
      <c r="I1923" t="n">
        <v>0.031674602402969</v>
      </c>
      <c r="J1923" t="n">
        <v>0.1838422363808725</v>
      </c>
      <c r="K1923" t="n">
        <v>0.1186004197608577</v>
      </c>
      <c r="L1923" t="b">
        <v>0</v>
      </c>
      <c r="M1923" t="b">
        <v>0</v>
      </c>
      <c r="N1923" t="inlineStr">
        <is>
          <t>alt</t>
        </is>
      </c>
      <c r="O1923" t="n">
        <v>100</v>
      </c>
      <c r="P1923" t="n">
        <v>0.003273</v>
      </c>
      <c r="Q1923" t="n">
        <v>40</v>
      </c>
      <c r="R1923" t="n">
        <v>0.0443</v>
      </c>
      <c r="S1923">
        <f>IMAGE("https://mitra.stanford.edu/kundaje/oak/projects/neuro-variants/variant_position/credible/roussos_2024/variant_figures/roussos_2024.infant.GLU/rs1261115_count_position.png",4,220,900)</f>
        <v/>
      </c>
      <c r="T1923">
        <f>IMAGE("https://mitra.stanford.edu/kundaje/oak/projects/neuro-variants/variant_position/credible/roussos_2024/variant_figures/roussos_2024.infant.GLU/rs1261115_profile_position.png",4,220,900)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-0.01851171514</v>
      </c>
      <c r="G1924" t="n">
        <v>0.4628293906048006</v>
      </c>
      <c r="H1924" t="n">
        <v>0.0066638423039395</v>
      </c>
      <c r="I1924" t="n">
        <v>0.973902996996759</v>
      </c>
      <c r="J1924" t="n">
        <v>0.014755616305474</v>
      </c>
      <c r="K1924" t="n">
        <v>0.5917228048559922</v>
      </c>
      <c r="L1924" t="b">
        <v>0</v>
      </c>
      <c r="M1924" t="b">
        <v>0</v>
      </c>
      <c r="N1924" t="inlineStr">
        <is>
          <t>ref</t>
        </is>
      </c>
      <c r="O1924" t="n">
        <v>-100</v>
      </c>
      <c r="P1924" t="n">
        <v>0.01834</v>
      </c>
      <c r="Q1924" t="n">
        <v>-5</v>
      </c>
      <c r="R1924" t="n">
        <v>0.010376</v>
      </c>
      <c r="S1924">
        <f>IMAGE("https://mitra.stanford.edu/kundaje/oak/projects/neuro-variants/variant_position/credible/roussos_2024/variant_figures/roussos_2024.infant.GLU/rs56666482_count_position.png",4,220,900)</f>
        <v/>
      </c>
      <c r="T1924">
        <f>IMAGE("https://mitra.stanford.edu/kundaje/oak/projects/neuro-variants/variant_position/credible/roussos_2024/variant_figures/roussos_2024.infant.GLU/rs56666482_profile_position.png",4,220,900)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-0.0226711136</v>
      </c>
      <c r="G1925" t="n">
        <v>0.4095001234398738</v>
      </c>
      <c r="H1925" t="n">
        <v>0.0301370613323352</v>
      </c>
      <c r="I1925" t="n">
        <v>0.0567595122699784</v>
      </c>
      <c r="J1925" t="n">
        <v>0.0052525408408474</v>
      </c>
      <c r="K1925" t="n">
        <v>0.7546332583602554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0.03458</v>
      </c>
      <c r="Q1925" t="n">
        <v>-100</v>
      </c>
      <c r="R1925" t="n">
        <v>0.1193</v>
      </c>
      <c r="S1925">
        <f>IMAGE("https://mitra.stanford.edu/kundaje/oak/projects/neuro-variants/variant_position/credible/roussos_2024/variant_figures/roussos_2024.infant.GLU/rs1261117_count_position.png",4,220,900)</f>
        <v/>
      </c>
      <c r="T1925">
        <f>IMAGE("https://mitra.stanford.edu/kundaje/oak/projects/neuro-variants/variant_position/credible/roussos_2024/variant_figures/roussos_2024.infant.GLU/rs1261117_profile_position.png",4,220,900)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-0.0063826681999999</v>
      </c>
      <c r="G1926" t="n">
        <v>0.4231797586024997</v>
      </c>
      <c r="H1926" t="n">
        <v>0.0467394577518162</v>
      </c>
      <c r="I1926" t="n">
        <v>0.0105030115356241</v>
      </c>
      <c r="J1926" t="n">
        <v>0.0195661280010581</v>
      </c>
      <c r="K1926" t="n">
        <v>0.5420741630861812</v>
      </c>
      <c r="L1926" t="b">
        <v>1</v>
      </c>
      <c r="M1926" t="b">
        <v>0</v>
      </c>
      <c r="N1926" t="inlineStr">
        <is>
          <t>ref</t>
        </is>
      </c>
      <c r="O1926" t="n">
        <v>-100</v>
      </c>
      <c r="P1926" t="n">
        <v>0.003967</v>
      </c>
      <c r="Q1926" t="n">
        <v>100</v>
      </c>
      <c r="R1926" t="n">
        <v>0.07764</v>
      </c>
      <c r="S1926">
        <f>IMAGE("https://mitra.stanford.edu/kundaje/oak/projects/neuro-variants/variant_position/credible/roussos_2024/variant_figures/roussos_2024.infant.GLU/rs1788031_count_position.png",4,220,900)</f>
        <v/>
      </c>
      <c r="T1926">
        <f>IMAGE("https://mitra.stanford.edu/kundaje/oak/projects/neuro-variants/variant_position/credible/roussos_2024/variant_figures/roussos_2024.infant.GLU/rs1788031_profile_position.png",4,220,900)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-0.00190621</v>
      </c>
      <c r="G1927" t="n">
        <v>0.5558988592155787</v>
      </c>
      <c r="H1927" t="n">
        <v>0.0129331596844882</v>
      </c>
      <c r="I1927" t="n">
        <v>0.4899499152445876</v>
      </c>
      <c r="J1927" t="n">
        <v>0.0463138517163076</v>
      </c>
      <c r="K1927" t="n">
        <v>0.3611225412326161</v>
      </c>
      <c r="L1927" t="b">
        <v>0</v>
      </c>
      <c r="M1927" t="b">
        <v>0</v>
      </c>
      <c r="N1927" t="inlineStr">
        <is>
          <t>ref</t>
        </is>
      </c>
      <c r="O1927" t="n">
        <v>100</v>
      </c>
      <c r="P1927" t="n">
        <v>0.0126</v>
      </c>
      <c r="Q1927" t="n">
        <v>70</v>
      </c>
      <c r="R1927" t="n">
        <v>0.1357</v>
      </c>
      <c r="S1927">
        <f>IMAGE("https://mitra.stanford.edu/kundaje/oak/projects/neuro-variants/variant_position/credible/roussos_2024/variant_figures/roussos_2024.infant.GLU/rs79926379_count_position.png",4,220,900)</f>
        <v/>
      </c>
      <c r="T1927">
        <f>IMAGE("https://mitra.stanford.edu/kundaje/oak/projects/neuro-variants/variant_position/credible/roussos_2024/variant_figures/roussos_2024.infant.GLU/rs79926379_profile_position.png",4,220,900)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0.0714126304</v>
      </c>
      <c r="G1928" t="n">
        <v>0.0959961587645804</v>
      </c>
      <c r="H1928" t="n">
        <v>0.0137082960498589</v>
      </c>
      <c r="I1928" t="n">
        <v>0.4412753646466191</v>
      </c>
      <c r="J1928" t="n">
        <v>0.0341938755263563</v>
      </c>
      <c r="K1928" t="n">
        <v>0.4318964348383338</v>
      </c>
      <c r="L1928" t="b">
        <v>0</v>
      </c>
      <c r="M1928" t="b">
        <v>0</v>
      </c>
      <c r="N1928" t="inlineStr">
        <is>
          <t>alt</t>
        </is>
      </c>
      <c r="O1928" t="n">
        <v>-90</v>
      </c>
      <c r="P1928" t="n">
        <v>0.02194</v>
      </c>
      <c r="Q1928" t="n">
        <v>-50</v>
      </c>
      <c r="R1928" t="n">
        <v>0.07480000000000001</v>
      </c>
      <c r="S1928">
        <f>IMAGE("https://mitra.stanford.edu/kundaje/oak/projects/neuro-variants/variant_position/credible/roussos_2024/variant_figures/roussos_2024.infant.GLU/rs77355441_count_position.png",4,220,900)</f>
        <v/>
      </c>
      <c r="T1928">
        <f>IMAGE("https://mitra.stanford.edu/kundaje/oak/projects/neuro-variants/variant_position/credible/roussos_2024/variant_figures/roussos_2024.infant.GLU/rs77355441_profile_position.png",4,220,900)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0.0153386812</v>
      </c>
      <c r="G1929" t="n">
        <v>0.5152632232496293</v>
      </c>
      <c r="H1929" t="n">
        <v>0.0279359801953489</v>
      </c>
      <c r="I1929" t="n">
        <v>0.0723342887510318</v>
      </c>
      <c r="J1929" t="n">
        <v>0.022103661897308</v>
      </c>
      <c r="K1929" t="n">
        <v>0.515752143904515</v>
      </c>
      <c r="L1929" t="b">
        <v>0</v>
      </c>
      <c r="M1929" t="b">
        <v>0</v>
      </c>
      <c r="N1929" t="inlineStr">
        <is>
          <t>alt</t>
        </is>
      </c>
      <c r="O1929" t="n">
        <v>50</v>
      </c>
      <c r="P1929" t="n">
        <v>0.00506</v>
      </c>
      <c r="Q1929" t="n">
        <v>-40</v>
      </c>
      <c r="R1929" t="n">
        <v>0.02615</v>
      </c>
      <c r="S1929">
        <f>IMAGE("https://mitra.stanford.edu/kundaje/oak/projects/neuro-variants/variant_position/credible/roussos_2024/variant_figures/roussos_2024.infant.GLU/rs78322266_count_position.png",4,220,900)</f>
        <v/>
      </c>
      <c r="T1929">
        <f>IMAGE("https://mitra.stanford.edu/kundaje/oak/projects/neuro-variants/variant_position/credible/roussos_2024/variant_figures/roussos_2024.infant.GLU/rs78322266_profile_position.png",4,220,900)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-0.3520871879999999</v>
      </c>
      <c r="G1930" t="n">
        <v>0.0016847242007613</v>
      </c>
      <c r="H1930" t="n">
        <v>0.0627155277754578</v>
      </c>
      <c r="I1930" t="n">
        <v>0.0024487600275445</v>
      </c>
      <c r="J1930" t="n">
        <v>0.1507605987786326</v>
      </c>
      <c r="K1930" t="n">
        <v>0.1479978525916109</v>
      </c>
      <c r="L1930" t="b">
        <v>1</v>
      </c>
      <c r="M1930" t="b">
        <v>1</v>
      </c>
      <c r="N1930" t="inlineStr">
        <is>
          <t>ref</t>
        </is>
      </c>
      <c r="O1930" t="n">
        <v>-100</v>
      </c>
      <c r="P1930" t="n">
        <v>0.012726</v>
      </c>
      <c r="Q1930" t="n">
        <v>-20</v>
      </c>
      <c r="R1930" t="n">
        <v>0.008545000000000001</v>
      </c>
      <c r="S1930">
        <f>IMAGE("https://mitra.stanford.edu/kundaje/oak/projects/neuro-variants/variant_position/credible/roussos_2024/variant_figures/roussos_2024.infant.GLU/rs17594721_count_position.png",4,220,900)</f>
        <v/>
      </c>
      <c r="T1930">
        <f>IMAGE("https://mitra.stanford.edu/kundaje/oak/projects/neuro-variants/variant_position/credible/roussos_2024/variant_figures/roussos_2024.infant.GLU/rs17594721_profile_position.png",4,220,900)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-0.16687045</v>
      </c>
      <c r="G1931" t="n">
        <v>0.0167096048231691</v>
      </c>
      <c r="H1931" t="n">
        <v>0.0270419616302238</v>
      </c>
      <c r="I1931" t="n">
        <v>0.08146000151987021</v>
      </c>
      <c r="J1931" t="n">
        <v>0.3133942547234286</v>
      </c>
      <c r="K1931" t="n">
        <v>0.0655836192137164</v>
      </c>
      <c r="L1931" t="b">
        <v>1</v>
      </c>
      <c r="M1931" t="b">
        <v>0</v>
      </c>
      <c r="N1931" t="inlineStr">
        <is>
          <t>ref</t>
        </is>
      </c>
      <c r="O1931" t="n">
        <v>-100</v>
      </c>
      <c r="P1931" t="n">
        <v>0.0317</v>
      </c>
      <c r="Q1931" t="n">
        <v>-95</v>
      </c>
      <c r="R1931" t="n">
        <v>0.0376</v>
      </c>
      <c r="S1931">
        <f>IMAGE("https://mitra.stanford.edu/kundaje/oak/projects/neuro-variants/variant_position/credible/roussos_2024/variant_figures/roussos_2024.infant.GLU/rs1371833_count_position.png",4,220,900)</f>
        <v/>
      </c>
      <c r="T1931">
        <f>IMAGE("https://mitra.stanford.edu/kundaje/oak/projects/neuro-variants/variant_position/credible/roussos_2024/variant_figures/roussos_2024.infant.GLU/rs1371833_profile_position.png",4,220,900)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0.132236091</v>
      </c>
      <c r="G1932" t="n">
        <v>0.0308853455323705</v>
      </c>
      <c r="H1932" t="n">
        <v>0.0196422793263231</v>
      </c>
      <c r="I1932" t="n">
        <v>0.1962150485737708</v>
      </c>
      <c r="J1932" t="n">
        <v>0.060185409731255</v>
      </c>
      <c r="K1932" t="n">
        <v>0.3097334109721534</v>
      </c>
      <c r="L1932" t="b">
        <v>0</v>
      </c>
      <c r="M1932" t="b">
        <v>0</v>
      </c>
      <c r="N1932" t="inlineStr">
        <is>
          <t>alt</t>
        </is>
      </c>
      <c r="O1932" t="n">
        <v>-65</v>
      </c>
      <c r="P1932" t="n">
        <v>0.01216</v>
      </c>
      <c r="Q1932" t="n">
        <v>-90</v>
      </c>
      <c r="R1932" t="n">
        <v>0.3008</v>
      </c>
      <c r="S1932">
        <f>IMAGE("https://mitra.stanford.edu/kundaje/oak/projects/neuro-variants/variant_position/credible/roussos_2024/variant_figures/roussos_2024.infant.GLU/rs73477275_count_position.png",4,220,900)</f>
        <v/>
      </c>
      <c r="T1932">
        <f>IMAGE("https://mitra.stanford.edu/kundaje/oak/projects/neuro-variants/variant_position/credible/roussos_2024/variant_figures/roussos_2024.infant.GLU/rs73477275_profile_position.png",4,220,900)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0.0634983494</v>
      </c>
      <c r="G1933" t="n">
        <v>0.1238698500757014</v>
      </c>
      <c r="H1933" t="n">
        <v>0.011932745016347</v>
      </c>
      <c r="I1933" t="n">
        <v>0.5326314694718941</v>
      </c>
      <c r="J1933" t="n">
        <v>0.0255065146938864</v>
      </c>
      <c r="K1933" t="n">
        <v>0.4857676394621855</v>
      </c>
      <c r="L1933" t="b">
        <v>0</v>
      </c>
      <c r="M1933" t="b">
        <v>0</v>
      </c>
      <c r="N1933" t="inlineStr">
        <is>
          <t>alt</t>
        </is>
      </c>
      <c r="O1933" t="n">
        <v>-100</v>
      </c>
      <c r="P1933" t="n">
        <v>0.0974</v>
      </c>
      <c r="Q1933" t="n">
        <v>-35</v>
      </c>
      <c r="R1933" t="n">
        <v>0.052</v>
      </c>
      <c r="S1933">
        <f>IMAGE("https://mitra.stanford.edu/kundaje/oak/projects/neuro-variants/variant_position/credible/roussos_2024/variant_figures/roussos_2024.infant.GLU/rs140282719_count_position.png",4,220,900)</f>
        <v/>
      </c>
      <c r="T1933">
        <f>IMAGE("https://mitra.stanford.edu/kundaje/oak/projects/neuro-variants/variant_position/credible/roussos_2024/variant_figures/roussos_2024.infant.GLU/rs140282719_profile_position.png",4,220,900)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-0.0131918486199999</v>
      </c>
      <c r="G1934" t="n">
        <v>0.5866083961914863</v>
      </c>
      <c r="H1934" t="n">
        <v>0.008585625633089899</v>
      </c>
      <c r="I1934" t="n">
        <v>0.8702397976944327</v>
      </c>
      <c r="J1934" t="n">
        <v>0.0130955267973279</v>
      </c>
      <c r="K1934" t="n">
        <v>0.6158820814835196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0.0396</v>
      </c>
      <c r="Q1934" t="n">
        <v>-35</v>
      </c>
      <c r="R1934" t="n">
        <v>0.08264000000000001</v>
      </c>
      <c r="S1934">
        <f>IMAGE("https://mitra.stanford.edu/kundaje/oak/projects/neuro-variants/variant_position/credible/roussos_2024/variant_figures/roussos_2024.infant.GLU/rs78431385_count_position.png",4,220,900)</f>
        <v/>
      </c>
      <c r="T1934">
        <f>IMAGE("https://mitra.stanford.edu/kundaje/oak/projects/neuro-variants/variant_position/credible/roussos_2024/variant_figures/roussos_2024.infant.GLU/rs78431385_profile_position.png",4,220,900)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-0.00448699392</v>
      </c>
      <c r="G1935" t="n">
        <v>0.7993579721851253</v>
      </c>
      <c r="H1935" t="n">
        <v>0.0312622767320572</v>
      </c>
      <c r="I1935" t="n">
        <v>0.0504569482726947</v>
      </c>
      <c r="J1935" t="n">
        <v>0.1532297890165126</v>
      </c>
      <c r="K1935" t="n">
        <v>0.1418489697950554</v>
      </c>
      <c r="L1935" t="b">
        <v>0</v>
      </c>
      <c r="M1935" t="b">
        <v>0</v>
      </c>
      <c r="N1935" t="inlineStr">
        <is>
          <t>ref</t>
        </is>
      </c>
      <c r="O1935" t="n">
        <v>0</v>
      </c>
      <c r="P1935" t="n">
        <v>0</v>
      </c>
      <c r="Q1935" t="n">
        <v>85</v>
      </c>
      <c r="R1935" t="n">
        <v>0.0835</v>
      </c>
      <c r="S1935">
        <f>IMAGE("https://mitra.stanford.edu/kundaje/oak/projects/neuro-variants/variant_position/credible/roussos_2024/variant_figures/roussos_2024.infant.GLU/rs184174206_count_position.png",4,220,900)</f>
        <v/>
      </c>
      <c r="T1935">
        <f>IMAGE("https://mitra.stanford.edu/kundaje/oak/projects/neuro-variants/variant_position/credible/roussos_2024/variant_figures/roussos_2024.infant.GLU/rs184174206_profile_position.png",4,220,900)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0.000395256698</v>
      </c>
      <c r="G1936" t="n">
        <v>0.8179617174441872</v>
      </c>
      <c r="H1936" t="n">
        <v>0.0121435525632251</v>
      </c>
      <c r="I1936" t="n">
        <v>0.5459856010450105</v>
      </c>
      <c r="J1936" t="n">
        <v>0.0176756542251812</v>
      </c>
      <c r="K1936" t="n">
        <v>0.5620597969824879</v>
      </c>
      <c r="L1936" t="b">
        <v>0</v>
      </c>
      <c r="M1936" t="b">
        <v>0</v>
      </c>
      <c r="N1936" t="inlineStr">
        <is>
          <t>alt</t>
        </is>
      </c>
      <c r="O1936" t="n">
        <v>75</v>
      </c>
      <c r="P1936" t="n">
        <v>0.0059</v>
      </c>
      <c r="Q1936" t="n">
        <v>-30</v>
      </c>
      <c r="R1936" t="n">
        <v>0.04065</v>
      </c>
      <c r="S1936">
        <f>IMAGE("https://mitra.stanford.edu/kundaje/oak/projects/neuro-variants/variant_position/credible/roussos_2024/variant_figures/roussos_2024.infant.GLU/rs813043_count_position.png",4,220,900)</f>
        <v/>
      </c>
      <c r="T1936">
        <f>IMAGE("https://mitra.stanford.edu/kundaje/oak/projects/neuro-variants/variant_position/credible/roussos_2024/variant_figures/roussos_2024.infant.GLU/rs813043_profile_position.png",4,220,900)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0.0161937836</v>
      </c>
      <c r="G1937" t="n">
        <v>0.4919817794632943</v>
      </c>
      <c r="H1937" t="n">
        <v>0.0442559880714293</v>
      </c>
      <c r="I1937" t="n">
        <v>0.0133324422985189</v>
      </c>
      <c r="J1937" t="n">
        <v>0.0149220661831168</v>
      </c>
      <c r="K1937" t="n">
        <v>0.6024068169122386</v>
      </c>
      <c r="L1937" t="b">
        <v>1</v>
      </c>
      <c r="M1937" t="b">
        <v>0</v>
      </c>
      <c r="N1937" t="inlineStr">
        <is>
          <t>alt</t>
        </is>
      </c>
      <c r="O1937" t="n">
        <v>-75</v>
      </c>
      <c r="P1937" t="n">
        <v>0.009220000000000001</v>
      </c>
      <c r="Q1937" t="n">
        <v>-10</v>
      </c>
      <c r="R1937" t="n">
        <v>0.00403</v>
      </c>
      <c r="S1937">
        <f>IMAGE("https://mitra.stanford.edu/kundaje/oak/projects/neuro-variants/variant_position/credible/roussos_2024/variant_figures/roussos_2024.infant.GLU/rs17527878_count_position.png",4,220,900)</f>
        <v/>
      </c>
      <c r="T1937">
        <f>IMAGE("https://mitra.stanford.edu/kundaje/oak/projects/neuro-variants/variant_position/credible/roussos_2024/variant_figures/roussos_2024.infant.GLU/rs17527878_profile_position.png",4,220,900)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-0.036641216012</v>
      </c>
      <c r="G1938" t="n">
        <v>0.2805016717346825</v>
      </c>
      <c r="H1938" t="n">
        <v>0.0358402380052024</v>
      </c>
      <c r="I1938" t="n">
        <v>0.0311619075603798</v>
      </c>
      <c r="J1938" t="n">
        <v>0.1397363257567406</v>
      </c>
      <c r="K1938" t="n">
        <v>0.1573703076699217</v>
      </c>
      <c r="L1938" t="b">
        <v>0</v>
      </c>
      <c r="M1938" t="b">
        <v>0</v>
      </c>
      <c r="N1938" t="inlineStr">
        <is>
          <t>ref</t>
        </is>
      </c>
      <c r="O1938" t="n">
        <v>35</v>
      </c>
      <c r="P1938" t="n">
        <v>0.005066</v>
      </c>
      <c r="Q1938" t="n">
        <v>45</v>
      </c>
      <c r="R1938" t="n">
        <v>0.08790000000000001</v>
      </c>
      <c r="S1938">
        <f>IMAGE("https://mitra.stanford.edu/kundaje/oak/projects/neuro-variants/variant_position/credible/roussos_2024/variant_figures/roussos_2024.infant.GLU/rs77882218_count_position.png",4,220,900)</f>
        <v/>
      </c>
      <c r="T1938">
        <f>IMAGE("https://mitra.stanford.edu/kundaje/oak/projects/neuro-variants/variant_position/credible/roussos_2024/variant_figures/roussos_2024.infant.GLU/rs77882218_profile_position.png",4,220,900)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0.0382065882</v>
      </c>
      <c r="G1939" t="n">
        <v>0.2343029534945732</v>
      </c>
      <c r="H1939" t="n">
        <v>0.009296269689670201</v>
      </c>
      <c r="I1939" t="n">
        <v>0.8061923733134694</v>
      </c>
      <c r="J1939" t="n">
        <v>0.0042758879164002</v>
      </c>
      <c r="K1939" t="n">
        <v>0.7751627436854747</v>
      </c>
      <c r="L1939" t="b">
        <v>0</v>
      </c>
      <c r="M1939" t="b">
        <v>0</v>
      </c>
      <c r="N1939" t="inlineStr">
        <is>
          <t>alt</t>
        </is>
      </c>
      <c r="O1939" t="n">
        <v>-100</v>
      </c>
      <c r="P1939" t="n">
        <v>0.08069999999999999</v>
      </c>
      <c r="Q1939" t="n">
        <v>100</v>
      </c>
      <c r="R1939" t="n">
        <v>0.0238</v>
      </c>
      <c r="S1939">
        <f>IMAGE("https://mitra.stanford.edu/kundaje/oak/projects/neuro-variants/variant_position/credible/roussos_2024/variant_figures/roussos_2024.infant.GLU/rs72932579_count_position.png",4,220,900)</f>
        <v/>
      </c>
      <c r="T1939">
        <f>IMAGE("https://mitra.stanford.edu/kundaje/oak/projects/neuro-variants/variant_position/credible/roussos_2024/variant_figures/roussos_2024.infant.GLU/rs72932579_profile_position.png",4,220,900)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0.091198868</v>
      </c>
      <c r="G1940" t="n">
        <v>0.0604968373132141</v>
      </c>
      <c r="H1940" t="n">
        <v>0.0493775912505963</v>
      </c>
      <c r="I1940" t="n">
        <v>0.008005210223807501</v>
      </c>
      <c r="J1940" t="n">
        <v>0.1200842170241847</v>
      </c>
      <c r="K1940" t="n">
        <v>0.1771882434022264</v>
      </c>
      <c r="L1940" t="b">
        <v>1</v>
      </c>
      <c r="M1940" t="b">
        <v>1</v>
      </c>
      <c r="N1940" t="inlineStr">
        <is>
          <t>alt</t>
        </is>
      </c>
      <c r="O1940" t="n">
        <v>-70</v>
      </c>
      <c r="P1940" t="n">
        <v>0.01865</v>
      </c>
      <c r="Q1940" t="n">
        <v>100</v>
      </c>
      <c r="R1940" t="n">
        <v>0.10657</v>
      </c>
      <c r="S1940">
        <f>IMAGE("https://mitra.stanford.edu/kundaje/oak/projects/neuro-variants/variant_position/credible/roussos_2024/variant_figures/roussos_2024.infant.GLU/rs75882620_count_position.png",4,220,900)</f>
        <v/>
      </c>
      <c r="T1940">
        <f>IMAGE("https://mitra.stanford.edu/kundaje/oak/projects/neuro-variants/variant_position/credible/roussos_2024/variant_figures/roussos_2024.infant.GLU/rs75882620_profile_position.png",4,220,900)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-0.0162351202</v>
      </c>
      <c r="G1941" t="n">
        <v>0.5297100515254171</v>
      </c>
      <c r="H1941" t="n">
        <v>0.0138452808334778</v>
      </c>
      <c r="I1941" t="n">
        <v>0.4289165506578438</v>
      </c>
      <c r="J1941" t="n">
        <v>0.0005048612182807001</v>
      </c>
      <c r="K1941" t="n">
        <v>0.9513499307227981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0.02354</v>
      </c>
      <c r="Q1941" t="n">
        <v>-65</v>
      </c>
      <c r="R1941" t="n">
        <v>0.04376</v>
      </c>
      <c r="S1941">
        <f>IMAGE("https://mitra.stanford.edu/kundaje/oak/projects/neuro-variants/variant_position/credible/roussos_2024/variant_figures/roussos_2024.infant.GLU/rs148652326_count_position.png",4,220,900)</f>
        <v/>
      </c>
      <c r="T1941">
        <f>IMAGE("https://mitra.stanford.edu/kundaje/oak/projects/neuro-variants/variant_position/credible/roussos_2024/variant_figures/roussos_2024.infant.GLU/rs148652326_profile_position.png",4,220,900)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-0.0573210563999999</v>
      </c>
      <c r="G1942" t="n">
        <v>0.1517762626341843</v>
      </c>
      <c r="H1942" t="n">
        <v>0.0114454565382962</v>
      </c>
      <c r="I1942" t="n">
        <v>0.5816316090101379</v>
      </c>
      <c r="J1942" t="n">
        <v>0.0595207125377543</v>
      </c>
      <c r="K1942" t="n">
        <v>0.3118269796858252</v>
      </c>
      <c r="L1942" t="b">
        <v>0</v>
      </c>
      <c r="M1942" t="b">
        <v>0</v>
      </c>
      <c r="N1942" t="inlineStr">
        <is>
          <t>ref</t>
        </is>
      </c>
      <c r="O1942" t="n">
        <v>-60</v>
      </c>
      <c r="P1942" t="n">
        <v>0.042</v>
      </c>
      <c r="Q1942" t="n">
        <v>15</v>
      </c>
      <c r="R1942" t="n">
        <v>0.00903</v>
      </c>
      <c r="S1942">
        <f>IMAGE("https://mitra.stanford.edu/kundaje/oak/projects/neuro-variants/variant_position/credible/roussos_2024/variant_figures/roussos_2024.infant.GLU/rs17602354_count_position.png",4,220,900)</f>
        <v/>
      </c>
      <c r="T1942">
        <f>IMAGE("https://mitra.stanford.edu/kundaje/oak/projects/neuro-variants/variant_position/credible/roussos_2024/variant_figures/roussos_2024.infant.GLU/rs17602354_profile_position.png",4,220,900)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0.0003977355859999</v>
      </c>
      <c r="G1943" t="n">
        <v>0.8287144244428186</v>
      </c>
      <c r="H1943" t="n">
        <v>0.0221604991894544</v>
      </c>
      <c r="I1943" t="n">
        <v>0.1419648120266401</v>
      </c>
      <c r="J1943" t="n">
        <v>0.0440155206243523</v>
      </c>
      <c r="K1943" t="n">
        <v>0.3663331594903808</v>
      </c>
      <c r="L1943" t="b">
        <v>0</v>
      </c>
      <c r="M1943" t="b">
        <v>0</v>
      </c>
      <c r="N1943" t="inlineStr">
        <is>
          <t>alt</t>
        </is>
      </c>
      <c r="O1943" t="n">
        <v>30</v>
      </c>
      <c r="P1943" t="n">
        <v>0.01071</v>
      </c>
      <c r="Q1943" t="n">
        <v>-65</v>
      </c>
      <c r="R1943" t="n">
        <v>0.05386</v>
      </c>
      <c r="S1943">
        <f>IMAGE("https://mitra.stanford.edu/kundaje/oak/projects/neuro-variants/variant_position/credible/roussos_2024/variant_figures/roussos_2024.infant.GLU/rs61576172_count_position.png",4,220,900)</f>
        <v/>
      </c>
      <c r="T1943">
        <f>IMAGE("https://mitra.stanford.edu/kundaje/oak/projects/neuro-variants/variant_position/credible/roussos_2024/variant_figures/roussos_2024.infant.GLU/rs61576172_profile_position.png",4,220,900)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-0.307607678</v>
      </c>
      <c r="G1944" t="n">
        <v>0.0029786245730696</v>
      </c>
      <c r="H1944" t="n">
        <v>0.0457539577667993</v>
      </c>
      <c r="I1944" t="n">
        <v>0.011560841166098</v>
      </c>
      <c r="J1944" t="n">
        <v>0.3106549968032804</v>
      </c>
      <c r="K1944" t="n">
        <v>0.06916687762783701</v>
      </c>
      <c r="L1944" t="b">
        <v>1</v>
      </c>
      <c r="M1944" t="b">
        <v>1</v>
      </c>
      <c r="N1944" t="inlineStr">
        <is>
          <t>ref</t>
        </is>
      </c>
      <c r="O1944" t="n">
        <v>80</v>
      </c>
      <c r="P1944" t="n">
        <v>0.01718</v>
      </c>
      <c r="Q1944" t="n">
        <v>80</v>
      </c>
      <c r="R1944" t="n">
        <v>0.1929</v>
      </c>
      <c r="S1944">
        <f>IMAGE("https://mitra.stanford.edu/kundaje/oak/projects/neuro-variants/variant_position/credible/roussos_2024/variant_figures/roussos_2024.infant.GLU/rs118115105_count_position.png",4,220,900)</f>
        <v/>
      </c>
      <c r="T1944">
        <f>IMAGE("https://mitra.stanford.edu/kundaje/oak/projects/neuro-variants/variant_position/credible/roussos_2024/variant_figures/roussos_2024.infant.GLU/rs118115105_profile_position.png",4,220,900)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-0.151796003</v>
      </c>
      <c r="G1945" t="n">
        <v>0.0209586290145781</v>
      </c>
      <c r="H1945" t="n">
        <v>0.0264231496919893</v>
      </c>
      <c r="I1945" t="n">
        <v>0.08634612117839841</v>
      </c>
      <c r="J1945" t="n">
        <v>0.1567693291298308</v>
      </c>
      <c r="K1945" t="n">
        <v>0.1479885908832704</v>
      </c>
      <c r="L1945" t="b">
        <v>0</v>
      </c>
      <c r="M1945" t="b">
        <v>0</v>
      </c>
      <c r="N1945" t="inlineStr">
        <is>
          <t>ref</t>
        </is>
      </c>
      <c r="O1945" t="n">
        <v>40</v>
      </c>
      <c r="P1945" t="n">
        <v>0.034</v>
      </c>
      <c r="Q1945" t="n">
        <v>65</v>
      </c>
      <c r="R1945" t="n">
        <v>0.139</v>
      </c>
      <c r="S1945">
        <f>IMAGE("https://mitra.stanford.edu/kundaje/oak/projects/neuro-variants/variant_position/credible/roussos_2024/variant_figures/roussos_2024.infant.GLU/rs56062547_count_position.png",4,220,900)</f>
        <v/>
      </c>
      <c r="T1945">
        <f>IMAGE("https://mitra.stanford.edu/kundaje/oak/projects/neuro-variants/variant_position/credible/roussos_2024/variant_figures/roussos_2024.infant.GLU/rs56062547_profile_position.png",4,220,900)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0.0091262166359999</v>
      </c>
      <c r="G1946" t="n">
        <v>0.6210003940678479</v>
      </c>
      <c r="H1946" t="n">
        <v>0.014407779452751</v>
      </c>
      <c r="I1946" t="n">
        <v>0.3981448499690047</v>
      </c>
      <c r="J1946" t="n">
        <v>0.0304559183403513</v>
      </c>
      <c r="K1946" t="n">
        <v>0.4578917557957272</v>
      </c>
      <c r="L1946" t="b">
        <v>0</v>
      </c>
      <c r="M1946" t="b">
        <v>0</v>
      </c>
      <c r="N1946" t="inlineStr">
        <is>
          <t>alt</t>
        </is>
      </c>
      <c r="O1946" t="n">
        <v>100</v>
      </c>
      <c r="P1946" t="n">
        <v>0.1294</v>
      </c>
      <c r="Q1946" t="n">
        <v>100</v>
      </c>
      <c r="R1946" t="n">
        <v>0.3276</v>
      </c>
      <c r="S1946">
        <f>IMAGE("https://mitra.stanford.edu/kundaje/oak/projects/neuro-variants/variant_position/credible/roussos_2024/variant_figures/roussos_2024.infant.GLU/rs1424401_count_position.png",4,220,900)</f>
        <v/>
      </c>
      <c r="T1946">
        <f>IMAGE("https://mitra.stanford.edu/kundaje/oak/projects/neuro-variants/variant_position/credible/roussos_2024/variant_figures/roussos_2024.infant.GLU/rs1424401_profile_position.png",4,220,900)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0.007991471865999999</v>
      </c>
      <c r="G1947" t="n">
        <v>0.6787141600025781</v>
      </c>
      <c r="H1947" t="n">
        <v>0.0124169278996632</v>
      </c>
      <c r="I1947" t="n">
        <v>0.5280954923344569</v>
      </c>
      <c r="J1947" t="n">
        <v>0.1510394849974646</v>
      </c>
      <c r="K1947" t="n">
        <v>0.1505163034192749</v>
      </c>
      <c r="L1947" t="b">
        <v>0</v>
      </c>
      <c r="M1947" t="b">
        <v>0</v>
      </c>
      <c r="N1947" t="inlineStr">
        <is>
          <t>alt</t>
        </is>
      </c>
      <c r="O1947" t="n">
        <v>-25</v>
      </c>
      <c r="P1947" t="n">
        <v>0.009186</v>
      </c>
      <c r="Q1947" t="n">
        <v>-55</v>
      </c>
      <c r="R1947" t="n">
        <v>0.0774</v>
      </c>
      <c r="S1947">
        <f>IMAGE("https://mitra.stanford.edu/kundaje/oak/projects/neuro-variants/variant_position/credible/roussos_2024/variant_figures/roussos_2024.infant.GLU/rs2902193_count_position.png",4,220,900)</f>
        <v/>
      </c>
      <c r="T1947">
        <f>IMAGE("https://mitra.stanford.edu/kundaje/oak/projects/neuro-variants/variant_position/credible/roussos_2024/variant_figures/roussos_2024.infant.GLU/rs2902193_profile_position.png",4,220,900)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-0.214777912</v>
      </c>
      <c r="G1948" t="n">
        <v>0.0082635571810165</v>
      </c>
      <c r="H1948" t="n">
        <v>0.0270197077656033</v>
      </c>
      <c r="I1948" t="n">
        <v>0.0802615328975146</v>
      </c>
      <c r="J1948" t="n">
        <v>0.3539286580391984</v>
      </c>
      <c r="K1948" t="n">
        <v>0.0551513304821547</v>
      </c>
      <c r="L1948" t="b">
        <v>1</v>
      </c>
      <c r="M1948" t="b">
        <v>1</v>
      </c>
      <c r="N1948" t="inlineStr">
        <is>
          <t>ref</t>
        </is>
      </c>
      <c r="O1948" t="n">
        <v>-35</v>
      </c>
      <c r="P1948" t="n">
        <v>0.004364</v>
      </c>
      <c r="Q1948" t="n">
        <v>-35</v>
      </c>
      <c r="R1948" t="n">
        <v>0.06444999999999999</v>
      </c>
      <c r="S1948">
        <f>IMAGE("https://mitra.stanford.edu/kundaje/oak/projects/neuro-variants/variant_position/credible/roussos_2024/variant_figures/roussos_2024.infant.GLU/rs10164243_count_position.png",4,220,900)</f>
        <v/>
      </c>
      <c r="T1948">
        <f>IMAGE("https://mitra.stanford.edu/kundaje/oak/projects/neuro-variants/variant_position/credible/roussos_2024/variant_figures/roussos_2024.infant.GLU/rs10164243_profile_position.png",4,220,900)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0.316751734</v>
      </c>
      <c r="G1949" t="n">
        <v>0.0028624425633173</v>
      </c>
      <c r="H1949" t="n">
        <v>0.0780126955421592</v>
      </c>
      <c r="I1949" t="n">
        <v>0.0008136116897284</v>
      </c>
      <c r="J1949" t="n">
        <v>0.4241782226239555</v>
      </c>
      <c r="K1949" t="n">
        <v>0.0409307509529989</v>
      </c>
      <c r="L1949" t="b">
        <v>1</v>
      </c>
      <c r="M1949" t="b">
        <v>1</v>
      </c>
      <c r="N1949" t="inlineStr">
        <is>
          <t>alt</t>
        </is>
      </c>
      <c r="O1949" t="n">
        <v>-85</v>
      </c>
      <c r="P1949" t="n">
        <v>0.02148</v>
      </c>
      <c r="Q1949" t="n">
        <v>-85</v>
      </c>
      <c r="R1949" t="n">
        <v>0.1755</v>
      </c>
      <c r="S1949">
        <f>IMAGE("https://mitra.stanford.edu/kundaje/oak/projects/neuro-variants/variant_position/credible/roussos_2024/variant_figures/roussos_2024.infant.GLU/rs1862920_count_position.png",4,220,900)</f>
        <v/>
      </c>
      <c r="T1949">
        <f>IMAGE("https://mitra.stanford.edu/kundaje/oak/projects/neuro-variants/variant_position/credible/roussos_2024/variant_figures/roussos_2024.infant.GLU/rs1862920_profile_position.png",4,220,900)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0.008637066860000001</v>
      </c>
      <c r="G1950" t="n">
        <v>0.6331502189037085</v>
      </c>
      <c r="H1950" t="n">
        <v>0.0389083538057268</v>
      </c>
      <c r="I1950" t="n">
        <v>0.0225604611145957</v>
      </c>
      <c r="J1950" t="n">
        <v>0.1422628364822857</v>
      </c>
      <c r="K1950" t="n">
        <v>0.1516362710958572</v>
      </c>
      <c r="L1950" t="b">
        <v>0</v>
      </c>
      <c r="M1950" t="b">
        <v>0</v>
      </c>
      <c r="N1950" t="inlineStr">
        <is>
          <t>alt</t>
        </is>
      </c>
      <c r="O1950" t="n">
        <v>-100</v>
      </c>
      <c r="P1950" t="n">
        <v>0.037</v>
      </c>
      <c r="Q1950" t="n">
        <v>-60</v>
      </c>
      <c r="R1950" t="n">
        <v>0.2314</v>
      </c>
      <c r="S1950">
        <f>IMAGE("https://mitra.stanford.edu/kundaje/oak/projects/neuro-variants/variant_position/credible/roussos_2024/variant_figures/roussos_2024.infant.GLU/rs1789562_count_position.png",4,220,900)</f>
        <v/>
      </c>
      <c r="T1950">
        <f>IMAGE("https://mitra.stanford.edu/kundaje/oak/projects/neuro-variants/variant_position/credible/roussos_2024/variant_figures/roussos_2024.infant.GLU/rs1789562_profile_position.png",4,220,900)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0.101453411</v>
      </c>
      <c r="G1951" t="n">
        <v>0.0508933301057651</v>
      </c>
      <c r="H1951" t="n">
        <v>0.0152845420757629</v>
      </c>
      <c r="I1951" t="n">
        <v>0.3511635194103054</v>
      </c>
      <c r="J1951" t="n">
        <v>0.1050089287682708</v>
      </c>
      <c r="K1951" t="n">
        <v>0.2010085441841579</v>
      </c>
      <c r="L1951" t="b">
        <v>0</v>
      </c>
      <c r="M1951" t="b">
        <v>0</v>
      </c>
      <c r="N1951" t="inlineStr">
        <is>
          <t>alt</t>
        </is>
      </c>
      <c r="O1951" t="n">
        <v>-100</v>
      </c>
      <c r="P1951" t="n">
        <v>0.01567</v>
      </c>
      <c r="Q1951" t="n">
        <v>-90</v>
      </c>
      <c r="R1951" t="n">
        <v>0.06177</v>
      </c>
      <c r="S1951">
        <f>IMAGE("https://mitra.stanford.edu/kundaje/oak/projects/neuro-variants/variant_position/credible/roussos_2024/variant_figures/roussos_2024.infant.GLU/rs75104423_count_position.png",4,220,900)</f>
        <v/>
      </c>
      <c r="T1951">
        <f>IMAGE("https://mitra.stanford.edu/kundaje/oak/projects/neuro-variants/variant_position/credible/roussos_2024/variant_figures/roussos_2024.infant.GLU/rs75104423_profile_position.png",4,220,900)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0.002569766066</v>
      </c>
      <c r="G1952" t="n">
        <v>0.6831761315003907</v>
      </c>
      <c r="H1952" t="n">
        <v>0.0114238896166489</v>
      </c>
      <c r="I1952" t="n">
        <v>0.6083076158489906</v>
      </c>
      <c r="J1952" t="n">
        <v>0.035386582596618</v>
      </c>
      <c r="K1952" t="n">
        <v>0.4132929243331714</v>
      </c>
      <c r="L1952" t="b">
        <v>0</v>
      </c>
      <c r="M1952" t="b">
        <v>0</v>
      </c>
      <c r="N1952" t="inlineStr">
        <is>
          <t>alt</t>
        </is>
      </c>
      <c r="O1952" t="n">
        <v>-85</v>
      </c>
      <c r="P1952" t="n">
        <v>0.00722</v>
      </c>
      <c r="Q1952" t="n">
        <v>100</v>
      </c>
      <c r="R1952" t="n">
        <v>0.05618</v>
      </c>
      <c r="S1952">
        <f>IMAGE("https://mitra.stanford.edu/kundaje/oak/projects/neuro-variants/variant_position/credible/roussos_2024/variant_figures/roussos_2024.infant.GLU/rs62091470_count_position.png",4,220,900)</f>
        <v/>
      </c>
      <c r="T1952">
        <f>IMAGE("https://mitra.stanford.edu/kundaje/oak/projects/neuro-variants/variant_position/credible/roussos_2024/variant_figures/roussos_2024.infant.GLU/rs62091470_profile_position.png",4,220,900)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-0.1137214872</v>
      </c>
      <c r="G1953" t="n">
        <v>0.039874714205357</v>
      </c>
      <c r="H1953" t="n">
        <v>0.0157719301827289</v>
      </c>
      <c r="I1953" t="n">
        <v>0.3266986709451974</v>
      </c>
      <c r="J1953" t="n">
        <v>0.0865318900328489</v>
      </c>
      <c r="K1953" t="n">
        <v>0.2391632289199946</v>
      </c>
      <c r="L1953" t="b">
        <v>0</v>
      </c>
      <c r="M1953" t="b">
        <v>0</v>
      </c>
      <c r="N1953" t="inlineStr">
        <is>
          <t>ref</t>
        </is>
      </c>
      <c r="O1953" t="n">
        <v>45</v>
      </c>
      <c r="P1953" t="n">
        <v>1.526e-05</v>
      </c>
      <c r="Q1953" t="n">
        <v>95</v>
      </c>
      <c r="R1953" t="n">
        <v>0.04996</v>
      </c>
      <c r="S1953">
        <f>IMAGE("https://mitra.stanford.edu/kundaje/oak/projects/neuro-variants/variant_position/credible/roussos_2024/variant_figures/roussos_2024.infant.GLU/rs62091471_count_position.png",4,220,900)</f>
        <v/>
      </c>
      <c r="T1953">
        <f>IMAGE("https://mitra.stanford.edu/kundaje/oak/projects/neuro-variants/variant_position/credible/roussos_2024/variant_figures/roussos_2024.infant.GLU/rs62091471_profile_position.png",4,220,900)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0.0170588262</v>
      </c>
      <c r="G1954" t="n">
        <v>0.4794556862085341</v>
      </c>
      <c r="H1954" t="n">
        <v>0.0128589087010689</v>
      </c>
      <c r="I1954" t="n">
        <v>0.492879999726898</v>
      </c>
      <c r="J1954" t="n">
        <v>0.1629897043585616</v>
      </c>
      <c r="K1954" t="n">
        <v>0.1428513133557079</v>
      </c>
      <c r="L1954" t="b">
        <v>0</v>
      </c>
      <c r="M1954" t="b">
        <v>0</v>
      </c>
      <c r="N1954" t="inlineStr">
        <is>
          <t>alt</t>
        </is>
      </c>
      <c r="O1954" t="n">
        <v>50</v>
      </c>
      <c r="P1954" t="n">
        <v>0.02502</v>
      </c>
      <c r="Q1954" t="n">
        <v>-85</v>
      </c>
      <c r="R1954" t="n">
        <v>0.1494</v>
      </c>
      <c r="S1954">
        <f>IMAGE("https://mitra.stanford.edu/kundaje/oak/projects/neuro-variants/variant_position/credible/roussos_2024/variant_figures/roussos_2024.infant.GLU/rs1808094_count_position.png",4,220,900)</f>
        <v/>
      </c>
      <c r="T1954">
        <f>IMAGE("https://mitra.stanford.edu/kundaje/oak/projects/neuro-variants/variant_position/credible/roussos_2024/variant_figures/roussos_2024.infant.GLU/rs1808094_profile_position.png",4,220,900)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-0.0389139</v>
      </c>
      <c r="G1955" t="n">
        <v>0.2418742910865265</v>
      </c>
      <c r="H1955" t="n">
        <v>0.0428047889471077</v>
      </c>
      <c r="I1955" t="n">
        <v>0.0151226732720225</v>
      </c>
      <c r="J1955" t="n">
        <v>0.0338003483321942</v>
      </c>
      <c r="K1955" t="n">
        <v>0.422672005782403</v>
      </c>
      <c r="L1955" t="b">
        <v>1</v>
      </c>
      <c r="M1955" t="b">
        <v>0</v>
      </c>
      <c r="N1955" t="inlineStr">
        <is>
          <t>ref</t>
        </is>
      </c>
      <c r="O1955" t="n">
        <v>100</v>
      </c>
      <c r="P1955" t="n">
        <v>0.02148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IMAGE("https://mitra.stanford.edu/kundaje/oak/projects/neuro-variants/variant_position/credible/roussos_2024/variant_figures/roussos_2024.infant.GLU/rs1790947_count_position.png",4,220,900)</f>
        <v/>
      </c>
      <c r="T1955">
        <f>IMAGE("https://mitra.stanford.edu/kundaje/oak/projects/neuro-variants/variant_position/credible/roussos_2024/variant_figures/roussos_2024.infant.GLU/rs1790947_profile_position.png",4,220,900)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0.0365731484</v>
      </c>
      <c r="G1956" t="n">
        <v>0.247073892902767</v>
      </c>
      <c r="H1956" t="n">
        <v>0.0098449034071232</v>
      </c>
      <c r="I1956" t="n">
        <v>0.7488964070710984</v>
      </c>
      <c r="J1956" t="n">
        <v>0.2386295994179765</v>
      </c>
      <c r="K1956" t="n">
        <v>0.0896971868324269</v>
      </c>
      <c r="L1956" t="b">
        <v>0</v>
      </c>
      <c r="M1956" t="b">
        <v>0</v>
      </c>
      <c r="N1956" t="inlineStr">
        <is>
          <t>alt</t>
        </is>
      </c>
      <c r="O1956" t="n">
        <v>-95</v>
      </c>
      <c r="P1956" t="n">
        <v>0.00336</v>
      </c>
      <c r="Q1956" t="n">
        <v>-60</v>
      </c>
      <c r="R1956" t="n">
        <v>0.03748</v>
      </c>
      <c r="S1956">
        <f>IMAGE("https://mitra.stanford.edu/kundaje/oak/projects/neuro-variants/variant_position/credible/roussos_2024/variant_figures/roussos_2024.infant.GLU/rs56249713_count_position.png",4,220,900)</f>
        <v/>
      </c>
      <c r="T1956">
        <f>IMAGE("https://mitra.stanford.edu/kundaje/oak/projects/neuro-variants/variant_position/credible/roussos_2024/variant_figures/roussos_2024.infant.GLU/rs56249713_profile_position.png",4,220,900)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0.0004416220799999</v>
      </c>
      <c r="G1957" t="n">
        <v>0.5781044407361509</v>
      </c>
      <c r="H1957" t="n">
        <v>0.0428351554217324</v>
      </c>
      <c r="I1957" t="n">
        <v>0.0152016442105225</v>
      </c>
      <c r="J1957" t="n">
        <v>0.1337331069908948</v>
      </c>
      <c r="K1957" t="n">
        <v>0.1645786809973513</v>
      </c>
      <c r="L1957" t="b">
        <v>1</v>
      </c>
      <c r="M1957" t="b">
        <v>0</v>
      </c>
      <c r="N1957" t="inlineStr">
        <is>
          <t>alt</t>
        </is>
      </c>
      <c r="O1957" t="n">
        <v>100</v>
      </c>
      <c r="P1957" t="n">
        <v>0.221</v>
      </c>
      <c r="Q1957" t="n">
        <v>-75</v>
      </c>
      <c r="R1957" t="n">
        <v>0.117</v>
      </c>
      <c r="S1957">
        <f>IMAGE("https://mitra.stanford.edu/kundaje/oak/projects/neuro-variants/variant_position/credible/roussos_2024/variant_figures/roussos_2024.infant.GLU/rs2554138_count_position.png",4,220,900)</f>
        <v/>
      </c>
      <c r="T1957">
        <f>IMAGE("https://mitra.stanford.edu/kundaje/oak/projects/neuro-variants/variant_position/credible/roussos_2024/variant_figures/roussos_2024.infant.GLU/rs2554138_profile_position.png",4,220,900)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-0.07399542639999999</v>
      </c>
      <c r="G1958" t="n">
        <v>0.08791897064895229</v>
      </c>
      <c r="H1958" t="n">
        <v>0.044089611520908</v>
      </c>
      <c r="I1958" t="n">
        <v>0.0134969632211423</v>
      </c>
      <c r="J1958" t="n">
        <v>0.4059855816927181</v>
      </c>
      <c r="K1958" t="n">
        <v>0.0438619697491556</v>
      </c>
      <c r="L1958" t="b">
        <v>1</v>
      </c>
      <c r="M1958" t="b">
        <v>0</v>
      </c>
      <c r="N1958" t="inlineStr">
        <is>
          <t>ref</t>
        </is>
      </c>
      <c r="O1958" t="n">
        <v>100</v>
      </c>
      <c r="P1958" t="n">
        <v>0.02301</v>
      </c>
      <c r="Q1958" t="n">
        <v>100</v>
      </c>
      <c r="R1958" t="n">
        <v>0.1257</v>
      </c>
      <c r="S1958">
        <f>IMAGE("https://mitra.stanford.edu/kundaje/oak/projects/neuro-variants/variant_position/credible/roussos_2024/variant_figures/roussos_2024.infant.GLU/rs2554132_count_position.png",4,220,900)</f>
        <v/>
      </c>
      <c r="T1958">
        <f>IMAGE("https://mitra.stanford.edu/kundaje/oak/projects/neuro-variants/variant_position/credible/roussos_2024/variant_figures/roussos_2024.infant.GLU/rs2554132_profile_position.png",4,220,900)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-0.35058163</v>
      </c>
      <c r="G1959" t="n">
        <v>0.0017293687720686</v>
      </c>
      <c r="H1959" t="n">
        <v>0.0903295288026944</v>
      </c>
      <c r="I1959" t="n">
        <v>0.0003556174540259</v>
      </c>
      <c r="J1959" t="n">
        <v>0.0399645053903304</v>
      </c>
      <c r="K1959" t="n">
        <v>0.3922684646755324</v>
      </c>
      <c r="L1959" t="b">
        <v>1</v>
      </c>
      <c r="M1959" t="b">
        <v>1</v>
      </c>
      <c r="N1959" t="inlineStr">
        <is>
          <t>ref</t>
        </is>
      </c>
      <c r="O1959" t="n">
        <v>-80</v>
      </c>
      <c r="P1959" t="n">
        <v>0.01945</v>
      </c>
      <c r="Q1959" t="n">
        <v>-80</v>
      </c>
      <c r="R1959" t="n">
        <v>0.08923</v>
      </c>
      <c r="S1959">
        <f>IMAGE("https://mitra.stanford.edu/kundaje/oak/projects/neuro-variants/variant_position/credible/roussos_2024/variant_figures/roussos_2024.infant.GLU/rs17055966_count_position.png",4,220,900)</f>
        <v/>
      </c>
      <c r="T1959">
        <f>IMAGE("https://mitra.stanford.edu/kundaje/oak/projects/neuro-variants/variant_position/credible/roussos_2024/variant_figures/roussos_2024.infant.GLU/rs17055966_profile_position.png",4,220,900)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0.0228940295399999</v>
      </c>
      <c r="G1960" t="n">
        <v>0.4366538045615381</v>
      </c>
      <c r="H1960" t="n">
        <v>0.0311098946301973</v>
      </c>
      <c r="I1960" t="n">
        <v>0.0530789575138371</v>
      </c>
      <c r="J1960" t="n">
        <v>0.0181165810533741</v>
      </c>
      <c r="K1960" t="n">
        <v>0.5538038246627469</v>
      </c>
      <c r="L1960" t="b">
        <v>0</v>
      </c>
      <c r="M1960" t="b">
        <v>0</v>
      </c>
      <c r="N1960" t="inlineStr">
        <is>
          <t>alt</t>
        </is>
      </c>
      <c r="O1960" t="n">
        <v>-90</v>
      </c>
      <c r="P1960" t="n">
        <v>0.0116</v>
      </c>
      <c r="Q1960" t="n">
        <v>-50</v>
      </c>
      <c r="R1960" t="n">
        <v>0.05847</v>
      </c>
      <c r="S1960">
        <f>IMAGE("https://mitra.stanford.edu/kundaje/oak/projects/neuro-variants/variant_position/credible/roussos_2024/variant_figures/roussos_2024.infant.GLU/rs2930551_count_position.png",4,220,900)</f>
        <v/>
      </c>
      <c r="T1960">
        <f>IMAGE("https://mitra.stanford.edu/kundaje/oak/projects/neuro-variants/variant_position/credible/roussos_2024/variant_figures/roussos_2024.infant.GLU/rs2930551_profile_position.png",4,220,900)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-0.00708952056</v>
      </c>
      <c r="G1961" t="n">
        <v>0.6902005168857819</v>
      </c>
      <c r="H1961" t="n">
        <v>0.004854706295098</v>
      </c>
      <c r="I1961" t="n">
        <v>0.9959991368407179</v>
      </c>
      <c r="J1961" t="n">
        <v>0.0121199761899512</v>
      </c>
      <c r="K1961" t="n">
        <v>0.6281485209908427</v>
      </c>
      <c r="L1961" t="b">
        <v>0</v>
      </c>
      <c r="M1961" t="b">
        <v>0</v>
      </c>
      <c r="N1961" t="inlineStr">
        <is>
          <t>ref</t>
        </is>
      </c>
      <c r="O1961" t="n">
        <v>55</v>
      </c>
      <c r="P1961" t="n">
        <v>0.0167</v>
      </c>
      <c r="Q1961" t="n">
        <v>-35</v>
      </c>
      <c r="R1961" t="n">
        <v>0.1277</v>
      </c>
      <c r="S1961">
        <f>IMAGE("https://mitra.stanford.edu/kundaje/oak/projects/neuro-variants/variant_position/credible/roussos_2024/variant_figures/roussos_2024.infant.GLU/rs4891202_count_position.png",4,220,900)</f>
        <v/>
      </c>
      <c r="T1961">
        <f>IMAGE("https://mitra.stanford.edu/kundaje/oak/projects/neuro-variants/variant_position/credible/roussos_2024/variant_figures/roussos_2024.infant.GLU/rs4891202_profile_position.png",4,220,900)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-0.0815721992</v>
      </c>
      <c r="G1962" t="n">
        <v>0.0897838444171471</v>
      </c>
      <c r="H1962" t="n">
        <v>0.0151685591462962</v>
      </c>
      <c r="I1962" t="n">
        <v>0.369189592490431</v>
      </c>
      <c r="J1962" t="n">
        <v>0.0544875327939328</v>
      </c>
      <c r="K1962" t="n">
        <v>0.3197450914864131</v>
      </c>
      <c r="L1962" t="b">
        <v>0</v>
      </c>
      <c r="M1962" t="b">
        <v>0</v>
      </c>
      <c r="N1962" t="inlineStr">
        <is>
          <t>ref</t>
        </is>
      </c>
      <c r="O1962" t="n">
        <v>-15</v>
      </c>
      <c r="P1962" t="n">
        <v>0.002983</v>
      </c>
      <c r="Q1962" t="n">
        <v>-70</v>
      </c>
      <c r="R1962" t="n">
        <v>0.1277</v>
      </c>
      <c r="S1962">
        <f>IMAGE("https://mitra.stanford.edu/kundaje/oak/projects/neuro-variants/variant_position/credible/roussos_2024/variant_figures/roussos_2024.infant.GLU/rs7243542_count_position.png",4,220,900)</f>
        <v/>
      </c>
      <c r="T1962">
        <f>IMAGE("https://mitra.stanford.edu/kundaje/oak/projects/neuro-variants/variant_position/credible/roussos_2024/variant_figures/roussos_2024.infant.GLU/rs7243542_profile_position.png",4,220,900)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0.019702592426</v>
      </c>
      <c r="G1963" t="n">
        <v>0.4597782637079278</v>
      </c>
      <c r="H1963" t="n">
        <v>0.0139619387198272</v>
      </c>
      <c r="I1963" t="n">
        <v>0.426053441448215</v>
      </c>
      <c r="J1963" t="n">
        <v>0.0129467139928128</v>
      </c>
      <c r="K1963" t="n">
        <v>0.6141185750156277</v>
      </c>
      <c r="L1963" t="b">
        <v>0</v>
      </c>
      <c r="M1963" t="b">
        <v>0</v>
      </c>
      <c r="N1963" t="inlineStr">
        <is>
          <t>alt</t>
        </is>
      </c>
      <c r="O1963" t="n">
        <v>90</v>
      </c>
      <c r="P1963" t="n">
        <v>0.01212</v>
      </c>
      <c r="Q1963" t="n">
        <v>85</v>
      </c>
      <c r="R1963" t="n">
        <v>0.1432</v>
      </c>
      <c r="S1963">
        <f>IMAGE("https://mitra.stanford.edu/kundaje/oak/projects/neuro-variants/variant_position/credible/roussos_2024/variant_figures/roussos_2024.infant.GLU/rs61019476_count_position.png",4,220,900)</f>
        <v/>
      </c>
      <c r="T1963">
        <f>IMAGE("https://mitra.stanford.edu/kundaje/oak/projects/neuro-variants/variant_position/credible/roussos_2024/variant_figures/roussos_2024.infant.GLU/rs61019476_profile_position.png",4,220,900)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0.1162709279999999</v>
      </c>
      <c r="G1964" t="n">
        <v>0.0366192720952241</v>
      </c>
      <c r="H1964" t="n">
        <v>0.0175196421644574</v>
      </c>
      <c r="I1964" t="n">
        <v>0.256144491842436</v>
      </c>
      <c r="J1964" t="n">
        <v>0.0264390749355144</v>
      </c>
      <c r="K1964" t="n">
        <v>0.4769283148933769</v>
      </c>
      <c r="L1964" t="b">
        <v>0</v>
      </c>
      <c r="M1964" t="b">
        <v>0</v>
      </c>
      <c r="N1964" t="inlineStr">
        <is>
          <t>alt</t>
        </is>
      </c>
      <c r="O1964" t="n">
        <v>-35</v>
      </c>
      <c r="P1964" t="n">
        <v>0.00461</v>
      </c>
      <c r="Q1964" t="n">
        <v>40</v>
      </c>
      <c r="R1964" t="n">
        <v>0.0641</v>
      </c>
      <c r="S1964">
        <f>IMAGE("https://mitra.stanford.edu/kundaje/oak/projects/neuro-variants/variant_position/credible/roussos_2024/variant_figures/roussos_2024.infant.GLU/rs4891041_count_position.png",4,220,900)</f>
        <v/>
      </c>
      <c r="T1964">
        <f>IMAGE("https://mitra.stanford.edu/kundaje/oak/projects/neuro-variants/variant_position/credible/roussos_2024/variant_figures/roussos_2024.infant.GLU/rs4891041_profile_position.png",4,220,900)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-0.0281340315999999</v>
      </c>
      <c r="G1965" t="n">
        <v>0.2641711698521527</v>
      </c>
      <c r="H1965" t="n">
        <v>0.0102669811111169</v>
      </c>
      <c r="I1965" t="n">
        <v>0.6851634238623774</v>
      </c>
      <c r="J1965" t="n">
        <v>0.08724067990916901</v>
      </c>
      <c r="K1965" t="n">
        <v>0.2311339053532708</v>
      </c>
      <c r="L1965" t="b">
        <v>0</v>
      </c>
      <c r="M1965" t="b">
        <v>0</v>
      </c>
      <c r="N1965" t="inlineStr">
        <is>
          <t>ref</t>
        </is>
      </c>
      <c r="O1965" t="n">
        <v>100</v>
      </c>
      <c r="P1965" t="n">
        <v>0.1324</v>
      </c>
      <c r="Q1965" t="n">
        <v>0</v>
      </c>
      <c r="R1965" t="n">
        <v>0</v>
      </c>
      <c r="S1965">
        <f>IMAGE("https://mitra.stanford.edu/kundaje/oak/projects/neuro-variants/variant_position/credible/roussos_2024/variant_figures/roussos_2024.infant.GLU/rs4334389_count_position.png",4,220,900)</f>
        <v/>
      </c>
      <c r="T1965">
        <f>IMAGE("https://mitra.stanford.edu/kundaje/oak/projects/neuro-variants/variant_position/credible/roussos_2024/variant_figures/roussos_2024.infant.GLU/rs4334389_profile_position.png",4,220,900)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-0.0064665098</v>
      </c>
      <c r="G1966" t="n">
        <v>0.5628968300152279</v>
      </c>
      <c r="H1966" t="n">
        <v>0.0148055038348146</v>
      </c>
      <c r="I1966" t="n">
        <v>0.3737096166380434</v>
      </c>
      <c r="J1966" t="n">
        <v>0.0544610771842412</v>
      </c>
      <c r="K1966" t="n">
        <v>0.3234648133797748</v>
      </c>
      <c r="L1966" t="b">
        <v>0</v>
      </c>
      <c r="M1966" t="b">
        <v>0</v>
      </c>
      <c r="N1966" t="inlineStr">
        <is>
          <t>ref</t>
        </is>
      </c>
      <c r="O1966" t="n">
        <v>-80</v>
      </c>
      <c r="P1966" t="n">
        <v>0.01729</v>
      </c>
      <c r="Q1966" t="n">
        <v>-10</v>
      </c>
      <c r="R1966" t="n">
        <v>0.013916</v>
      </c>
      <c r="S1966">
        <f>IMAGE("https://mitra.stanford.edu/kundaje/oak/projects/neuro-variants/variant_position/credible/roussos_2024/variant_figures/roussos_2024.infant.GLU/rs9963429_count_position.png",4,220,900)</f>
        <v/>
      </c>
      <c r="T1966">
        <f>IMAGE("https://mitra.stanford.edu/kundaje/oak/projects/neuro-variants/variant_position/credible/roussos_2024/variant_figures/roussos_2024.infant.GLU/rs9963429_profile_position.png",4,220,900)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0.01728767696</v>
      </c>
      <c r="G1967" t="n">
        <v>0.485014654864435</v>
      </c>
      <c r="H1967" t="n">
        <v>0.0077180377067609</v>
      </c>
      <c r="I1967" t="n">
        <v>0.9208873663399528</v>
      </c>
      <c r="J1967" t="n">
        <v>0.0122136731409422</v>
      </c>
      <c r="K1967" t="n">
        <v>0.6280809908171998</v>
      </c>
      <c r="L1967" t="b">
        <v>0</v>
      </c>
      <c r="M1967" t="b">
        <v>0</v>
      </c>
      <c r="N1967" t="inlineStr">
        <is>
          <t>alt</t>
        </is>
      </c>
      <c r="O1967" t="n">
        <v>95</v>
      </c>
      <c r="P1967" t="n">
        <v>0.1436</v>
      </c>
      <c r="Q1967" t="n">
        <v>-25</v>
      </c>
      <c r="R1967" t="n">
        <v>0.01407</v>
      </c>
      <c r="S1967">
        <f>IMAGE("https://mitra.stanford.edu/kundaje/oak/projects/neuro-variants/variant_position/credible/roussos_2024/variant_figures/roussos_2024.infant.GLU/rs4891211_count_position.png",4,220,900)</f>
        <v/>
      </c>
      <c r="T1967">
        <f>IMAGE("https://mitra.stanford.edu/kundaje/oak/projects/neuro-variants/variant_position/credible/roussos_2024/variant_figures/roussos_2024.infant.GLU/rs4891211_profile_position.png",4,220,900)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0.0145509406</v>
      </c>
      <c r="G1968" t="n">
        <v>0.523786419162663</v>
      </c>
      <c r="H1968" t="n">
        <v>0.0388111027652821</v>
      </c>
      <c r="I1968" t="n">
        <v>0.0228441113591022</v>
      </c>
      <c r="J1968" t="n">
        <v>0.009648581317930199</v>
      </c>
      <c r="K1968" t="n">
        <v>0.6649592201064958</v>
      </c>
      <c r="L1968" t="b">
        <v>0</v>
      </c>
      <c r="M1968" t="b">
        <v>0</v>
      </c>
      <c r="N1968" t="inlineStr">
        <is>
          <t>alt</t>
        </is>
      </c>
      <c r="O1968" t="n">
        <v>-95</v>
      </c>
      <c r="P1968" t="n">
        <v>0.0221</v>
      </c>
      <c r="Q1968" t="n">
        <v>-90</v>
      </c>
      <c r="R1968" t="n">
        <v>0.1497</v>
      </c>
      <c r="S1968">
        <f>IMAGE("https://mitra.stanford.edu/kundaje/oak/projects/neuro-variants/variant_position/credible/roussos_2024/variant_figures/roussos_2024.infant.GLU/rs4891042_count_position.png",4,220,900)</f>
        <v/>
      </c>
      <c r="T1968">
        <f>IMAGE("https://mitra.stanford.edu/kundaje/oak/projects/neuro-variants/variant_position/credible/roussos_2024/variant_figures/roussos_2024.infant.GLU/rs4891042_profile_position.png",4,220,900)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0.019421986092</v>
      </c>
      <c r="G1969" t="n">
        <v>0.4468129944656877</v>
      </c>
      <c r="H1969" t="n">
        <v>0.0153344468323959</v>
      </c>
      <c r="I1969" t="n">
        <v>0.3422963525950088</v>
      </c>
      <c r="J1969" t="n">
        <v>0.007828655834564199</v>
      </c>
      <c r="K1969" t="n">
        <v>0.6909832829057092</v>
      </c>
      <c r="L1969" t="b">
        <v>0</v>
      </c>
      <c r="M1969" t="b">
        <v>0</v>
      </c>
      <c r="N1969" t="inlineStr">
        <is>
          <t>alt</t>
        </is>
      </c>
      <c r="O1969" t="n">
        <v>80</v>
      </c>
      <c r="P1969" t="n">
        <v>0.037</v>
      </c>
      <c r="Q1969" t="n">
        <v>95</v>
      </c>
      <c r="R1969" t="n">
        <v>0.1489</v>
      </c>
      <c r="S1969">
        <f>IMAGE("https://mitra.stanford.edu/kundaje/oak/projects/neuro-variants/variant_position/credible/roussos_2024/variant_figures/roussos_2024.infant.GLU/rs9964094_count_position.png",4,220,900)</f>
        <v/>
      </c>
      <c r="T1969">
        <f>IMAGE("https://mitra.stanford.edu/kundaje/oak/projects/neuro-variants/variant_position/credible/roussos_2024/variant_figures/roussos_2024.infant.GLU/rs9964094_profile_position.png",4,220,900)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0.0435903874</v>
      </c>
      <c r="G1970" t="n">
        <v>0.1996054161483192</v>
      </c>
      <c r="H1970" t="n">
        <v>0.009893271097442501</v>
      </c>
      <c r="I1970" t="n">
        <v>0.7477007744709319</v>
      </c>
      <c r="J1970" t="n">
        <v>0.0089177451002005</v>
      </c>
      <c r="K1970" t="n">
        <v>0.6730585747078399</v>
      </c>
      <c r="L1970" t="b">
        <v>0</v>
      </c>
      <c r="M1970" t="b">
        <v>0</v>
      </c>
      <c r="N1970" t="inlineStr">
        <is>
          <t>alt</t>
        </is>
      </c>
      <c r="O1970" t="n">
        <v>15</v>
      </c>
      <c r="P1970" t="n">
        <v>0.00638</v>
      </c>
      <c r="Q1970" t="n">
        <v>30</v>
      </c>
      <c r="R1970" t="n">
        <v>0.08935999999999999</v>
      </c>
      <c r="S1970">
        <f>IMAGE("https://mitra.stanford.edu/kundaje/oak/projects/neuro-variants/variant_position/credible/roussos_2024/variant_figures/roussos_2024.infant.GLU/rs9964170_count_position.png",4,220,900)</f>
        <v/>
      </c>
      <c r="T1970">
        <f>IMAGE("https://mitra.stanford.edu/kundaje/oak/projects/neuro-variants/variant_position/credible/roussos_2024/variant_figures/roussos_2024.infant.GLU/rs9964170_profile_position.png",4,220,900)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-0.0226474209999999</v>
      </c>
      <c r="G1971" t="n">
        <v>0.4110688686712591</v>
      </c>
      <c r="H1971" t="n">
        <v>0.0158933796936978</v>
      </c>
      <c r="I1971" t="n">
        <v>0.3155609135725003</v>
      </c>
      <c r="J1971" t="n">
        <v>0.07274521043232859</v>
      </c>
      <c r="K1971" t="n">
        <v>0.2670247038581559</v>
      </c>
      <c r="L1971" t="b">
        <v>0</v>
      </c>
      <c r="M1971" t="b">
        <v>0</v>
      </c>
      <c r="N1971" t="inlineStr">
        <is>
          <t>ref</t>
        </is>
      </c>
      <c r="O1971" t="n">
        <v>-35</v>
      </c>
      <c r="P1971" t="n">
        <v>0.005432</v>
      </c>
      <c r="Q1971" t="n">
        <v>100</v>
      </c>
      <c r="R1971" t="n">
        <v>0.1465</v>
      </c>
      <c r="S1971">
        <f>IMAGE("https://mitra.stanford.edu/kundaje/oak/projects/neuro-variants/variant_position/credible/roussos_2024/variant_figures/roussos_2024.infant.GLU/rs2920353_count_position.png",4,220,900)</f>
        <v/>
      </c>
      <c r="T1971">
        <f>IMAGE("https://mitra.stanford.edu/kundaje/oak/projects/neuro-variants/variant_position/credible/roussos_2024/variant_figures/roussos_2024.infant.GLU/rs2920353_profile_position.png",4,220,900)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0.0825556742</v>
      </c>
      <c r="G1972" t="n">
        <v>0.0753167186471676</v>
      </c>
      <c r="H1972" t="n">
        <v>0.0108770770589394</v>
      </c>
      <c r="I1972" t="n">
        <v>0.6596183522977039</v>
      </c>
      <c r="J1972" t="n">
        <v>0.1663440552040388</v>
      </c>
      <c r="K1972" t="n">
        <v>0.1339283032194808</v>
      </c>
      <c r="L1972" t="b">
        <v>0</v>
      </c>
      <c r="M1972" t="b">
        <v>0</v>
      </c>
      <c r="N1972" t="inlineStr">
        <is>
          <t>alt</t>
        </is>
      </c>
      <c r="O1972" t="n">
        <v>-35</v>
      </c>
      <c r="P1972" t="n">
        <v>0.003609</v>
      </c>
      <c r="Q1972" t="n">
        <v>-35</v>
      </c>
      <c r="R1972" t="n">
        <v>0.004395</v>
      </c>
      <c r="S1972">
        <f>IMAGE("https://mitra.stanford.edu/kundaje/oak/projects/neuro-variants/variant_position/credible/roussos_2024/variant_figures/roussos_2024.infant.GLU/rs9947731_count_position.png",4,220,900)</f>
        <v/>
      </c>
      <c r="T1972">
        <f>IMAGE("https://mitra.stanford.edu/kundaje/oak/projects/neuro-variants/variant_position/credible/roussos_2024/variant_figures/roussos_2024.infant.GLU/rs9947731_profile_position.png",4,220,900)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0.0265110151999999</v>
      </c>
      <c r="G1973" t="n">
        <v>0.344654067258073</v>
      </c>
      <c r="H1973" t="n">
        <v>0.0094583407186837</v>
      </c>
      <c r="I1973" t="n">
        <v>0.7862484825918774</v>
      </c>
      <c r="J1973" t="n">
        <v>0.1486143874424038</v>
      </c>
      <c r="K1973" t="n">
        <v>0.1455366687406017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0.01955</v>
      </c>
      <c r="Q1973" t="n">
        <v>95</v>
      </c>
      <c r="R1973" t="n">
        <v>0.0382</v>
      </c>
      <c r="S1973">
        <f>IMAGE("https://mitra.stanford.edu/kundaje/oak/projects/neuro-variants/variant_position/credible/roussos_2024/variant_figures/roussos_2024.infant.GLU/rs7241108_count_position.png",4,220,900)</f>
        <v/>
      </c>
      <c r="T1973">
        <f>IMAGE("https://mitra.stanford.edu/kundaje/oak/projects/neuro-variants/variant_position/credible/roussos_2024/variant_figures/roussos_2024.infant.GLU/rs7241108_profile_position.png",4,220,900)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0.03133963</v>
      </c>
      <c r="G1974" t="n">
        <v>0.2134729993433317</v>
      </c>
      <c r="H1974" t="n">
        <v>0.0139552404914044</v>
      </c>
      <c r="I1974" t="n">
        <v>0.4222730443720829</v>
      </c>
      <c r="J1974" t="n">
        <v>0.0515873365814942</v>
      </c>
      <c r="K1974" t="n">
        <v>0.3334161162377748</v>
      </c>
      <c r="L1974" t="b">
        <v>0</v>
      </c>
      <c r="M1974" t="b">
        <v>0</v>
      </c>
      <c r="N1974" t="inlineStr">
        <is>
          <t>alt</t>
        </is>
      </c>
      <c r="O1974" t="n">
        <v>95</v>
      </c>
      <c r="P1974" t="n">
        <v>0.008895999999999999</v>
      </c>
      <c r="Q1974" t="n">
        <v>5</v>
      </c>
      <c r="R1974" t="n">
        <v>0.01245</v>
      </c>
      <c r="S1974">
        <f>IMAGE("https://mitra.stanford.edu/kundaje/oak/projects/neuro-variants/variant_position/credible/roussos_2024/variant_figures/roussos_2024.infant.GLU/rs9961644_count_position.png",4,220,900)</f>
        <v/>
      </c>
      <c r="T1974">
        <f>IMAGE("https://mitra.stanford.edu/kundaje/oak/projects/neuro-variants/variant_position/credible/roussos_2024/variant_figures/roussos_2024.infant.GLU/rs9961644_profile_position.png",4,220,900)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-0.0149061115999999</v>
      </c>
      <c r="G1975" t="n">
        <v>0.3426866243328421</v>
      </c>
      <c r="H1975" t="n">
        <v>0.0098687967670987</v>
      </c>
      <c r="I1975" t="n">
        <v>0.7371972318710791</v>
      </c>
      <c r="J1975" t="n">
        <v>0.2002259749994488</v>
      </c>
      <c r="K1975" t="n">
        <v>0.1091143037138904</v>
      </c>
      <c r="L1975" t="b">
        <v>0</v>
      </c>
      <c r="M1975" t="b">
        <v>0</v>
      </c>
      <c r="N1975" t="inlineStr">
        <is>
          <t>ref</t>
        </is>
      </c>
      <c r="O1975" t="n">
        <v>100</v>
      </c>
      <c r="P1975" t="n">
        <v>0.01569</v>
      </c>
      <c r="Q1975" t="n">
        <v>5</v>
      </c>
      <c r="R1975" t="n">
        <v>0.01413</v>
      </c>
      <c r="S1975">
        <f>IMAGE("https://mitra.stanford.edu/kundaje/oak/projects/neuro-variants/variant_position/credible/roussos_2024/variant_figures/roussos_2024.infant.GLU/rs7234127_count_position.png",4,220,900)</f>
        <v/>
      </c>
      <c r="T1975">
        <f>IMAGE("https://mitra.stanford.edu/kundaje/oak/projects/neuro-variants/variant_position/credible/roussos_2024/variant_figures/roussos_2024.infant.GLU/rs7234127_profile_position.png",4,220,900)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0.02786890092</v>
      </c>
      <c r="G1976" t="n">
        <v>0.2728830458601188</v>
      </c>
      <c r="H1976" t="n">
        <v>0.0249068060823267</v>
      </c>
      <c r="I1976" t="n">
        <v>0.1015467246388768</v>
      </c>
      <c r="J1976" t="n">
        <v>0.1007330408518705</v>
      </c>
      <c r="K1976" t="n">
        <v>0.2084749293721181</v>
      </c>
      <c r="L1976" t="b">
        <v>0</v>
      </c>
      <c r="M1976" t="b">
        <v>0</v>
      </c>
      <c r="N1976" t="inlineStr">
        <is>
          <t>alt</t>
        </is>
      </c>
      <c r="O1976" t="n">
        <v>65</v>
      </c>
      <c r="P1976" t="n">
        <v>0.007294</v>
      </c>
      <c r="Q1976" t="n">
        <v>-10</v>
      </c>
      <c r="R1976" t="n">
        <v>0.001953</v>
      </c>
      <c r="S1976">
        <f>IMAGE("https://mitra.stanford.edu/kundaje/oak/projects/neuro-variants/variant_position/credible/roussos_2024/variant_figures/roussos_2024.infant.GLU/rs9950694_count_position.png",4,220,900)</f>
        <v/>
      </c>
      <c r="T1976">
        <f>IMAGE("https://mitra.stanford.edu/kundaje/oak/projects/neuro-variants/variant_position/credible/roussos_2024/variant_figures/roussos_2024.infant.GLU/rs9950694_profile_position.png",4,220,900)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-0.0178351616</v>
      </c>
      <c r="G1977" t="n">
        <v>0.4798916428113515</v>
      </c>
      <c r="H1977" t="n">
        <v>0.0377509767374188</v>
      </c>
      <c r="I1977" t="n">
        <v>0.0253102158803275</v>
      </c>
      <c r="J1977" t="n">
        <v>0.0212912542163627</v>
      </c>
      <c r="K1977" t="n">
        <v>0.5295956417752582</v>
      </c>
      <c r="L1977" t="b">
        <v>0</v>
      </c>
      <c r="M1977" t="b">
        <v>0</v>
      </c>
      <c r="N1977" t="inlineStr">
        <is>
          <t>ref</t>
        </is>
      </c>
      <c r="O1977" t="n">
        <v>80</v>
      </c>
      <c r="P1977" t="n">
        <v>0.0083</v>
      </c>
      <c r="Q1977" t="n">
        <v>100</v>
      </c>
      <c r="R1977" t="n">
        <v>0.136</v>
      </c>
      <c r="S1977">
        <f>IMAGE("https://mitra.stanford.edu/kundaje/oak/projects/neuro-variants/variant_position/credible/roussos_2024/variant_figures/roussos_2024.infant.GLU/rs894577_count_position.png",4,220,900)</f>
        <v/>
      </c>
      <c r="T1977">
        <f>IMAGE("https://mitra.stanford.edu/kundaje/oak/projects/neuro-variants/variant_position/credible/roussos_2024/variant_figures/roussos_2024.infant.GLU/rs894577_profile_position.png",4,220,900)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-0.0265861542</v>
      </c>
      <c r="G1978" t="n">
        <v>0.3625797074742004</v>
      </c>
      <c r="H1978" t="n">
        <v>0.0237630179826321</v>
      </c>
      <c r="I1978" t="n">
        <v>0.1158965682992002</v>
      </c>
      <c r="J1978" t="n">
        <v>0.3894375978306399</v>
      </c>
      <c r="K1978" t="n">
        <v>0.0471102933192656</v>
      </c>
      <c r="L1978" t="b">
        <v>0</v>
      </c>
      <c r="M1978" t="b">
        <v>0</v>
      </c>
      <c r="N1978" t="inlineStr">
        <is>
          <t>ref</t>
        </is>
      </c>
      <c r="O1978" t="n">
        <v>-25</v>
      </c>
      <c r="P1978" t="n">
        <v>0.005272</v>
      </c>
      <c r="Q1978" t="n">
        <v>-80</v>
      </c>
      <c r="R1978" t="n">
        <v>0.09032999999999999</v>
      </c>
      <c r="S1978">
        <f>IMAGE("https://mitra.stanford.edu/kundaje/oak/projects/neuro-variants/variant_position/credible/roussos_2024/variant_figures/roussos_2024.infant.GLU/rs9319675_count_position.png",4,220,900)</f>
        <v/>
      </c>
      <c r="T1978">
        <f>IMAGE("https://mitra.stanford.edu/kundaje/oak/projects/neuro-variants/variant_position/credible/roussos_2024/variant_figures/roussos_2024.infant.GLU/rs9319675_profile_position.png",4,220,900)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-0.053984582</v>
      </c>
      <c r="G1979" t="n">
        <v>0.1529436164016862</v>
      </c>
      <c r="H1979" t="n">
        <v>0.0127978252524728</v>
      </c>
      <c r="I1979" t="n">
        <v>0.4983692237585057</v>
      </c>
      <c r="J1979" t="n">
        <v>0.0321612028483872</v>
      </c>
      <c r="K1979" t="n">
        <v>0.4424805559464013</v>
      </c>
      <c r="L1979" t="b">
        <v>0</v>
      </c>
      <c r="M1979" t="b">
        <v>0</v>
      </c>
      <c r="N1979" t="inlineStr">
        <is>
          <t>ref</t>
        </is>
      </c>
      <c r="O1979" t="n">
        <v>85</v>
      </c>
      <c r="P1979" t="n">
        <v>0.01356</v>
      </c>
      <c r="Q1979" t="n">
        <v>-90</v>
      </c>
      <c r="R1979" t="n">
        <v>0.05035</v>
      </c>
      <c r="S1979">
        <f>IMAGE("https://mitra.stanford.edu/kundaje/oak/projects/neuro-variants/variant_position/credible/roussos_2024/variant_figures/roussos_2024.infant.GLU/rs4891221_count_position.png",4,220,900)</f>
        <v/>
      </c>
      <c r="T1979">
        <f>IMAGE("https://mitra.stanford.edu/kundaje/oak/projects/neuro-variants/variant_position/credible/roussos_2024/variant_figures/roussos_2024.infant.GLU/rs4891221_profile_position.png",4,220,900)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-0.0362475736</v>
      </c>
      <c r="G1980" t="n">
        <v>0.2716702801430425</v>
      </c>
      <c r="H1980" t="n">
        <v>0.0129750505918941</v>
      </c>
      <c r="I1980" t="n">
        <v>0.4847810973600761</v>
      </c>
      <c r="J1980" t="n">
        <v>0.6199618598293613</v>
      </c>
      <c r="K1980" t="n">
        <v>0.0191942251245818</v>
      </c>
      <c r="L1980" t="b">
        <v>0</v>
      </c>
      <c r="M1980" t="b">
        <v>0</v>
      </c>
      <c r="N1980" t="inlineStr">
        <is>
          <t>ref</t>
        </is>
      </c>
      <c r="O1980" t="n">
        <v>100</v>
      </c>
      <c r="P1980" t="n">
        <v>0.00779</v>
      </c>
      <c r="Q1980" t="n">
        <v>100</v>
      </c>
      <c r="R1980" t="n">
        <v>0.0809</v>
      </c>
      <c r="S1980">
        <f>IMAGE("https://mitra.stanford.edu/kundaje/oak/projects/neuro-variants/variant_position/credible/roussos_2024/variant_figures/roussos_2024.infant.GLU/rs115000070_count_position.png",4,220,900)</f>
        <v/>
      </c>
      <c r="T1980">
        <f>IMAGE("https://mitra.stanford.edu/kundaje/oak/projects/neuro-variants/variant_position/credible/roussos_2024/variant_figures/roussos_2024.infant.GLU/rs115000070_profile_position.png",4,220,900)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-0.0315456368</v>
      </c>
      <c r="G1981" t="n">
        <v>0.2806643338970786</v>
      </c>
      <c r="H1981" t="n">
        <v>0.0244656532231319</v>
      </c>
      <c r="I1981" t="n">
        <v>0.1082359355238015</v>
      </c>
      <c r="J1981" t="n">
        <v>0.6509634251196014</v>
      </c>
      <c r="K1981" t="n">
        <v>0.017476352288135</v>
      </c>
      <c r="L1981" t="b">
        <v>0</v>
      </c>
      <c r="M1981" t="b">
        <v>0</v>
      </c>
      <c r="N1981" t="inlineStr">
        <is>
          <t>ref</t>
        </is>
      </c>
      <c r="O1981" t="n">
        <v>100</v>
      </c>
      <c r="P1981" t="n">
        <v>0.02362</v>
      </c>
      <c r="Q1981" t="n">
        <v>75</v>
      </c>
      <c r="R1981" t="n">
        <v>0.07764</v>
      </c>
      <c r="S1981">
        <f>IMAGE("https://mitra.stanford.edu/kundaje/oak/projects/neuro-variants/variant_position/credible/roussos_2024/variant_figures/roussos_2024.infant.GLU/rs12457876_count_position.png",4,220,900)</f>
        <v/>
      </c>
      <c r="T1981">
        <f>IMAGE("https://mitra.stanford.edu/kundaje/oak/projects/neuro-variants/variant_position/credible/roussos_2024/variant_figures/roussos_2024.infant.GLU/rs12457876_profile_position.png",4,220,900)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0.0246541038</v>
      </c>
      <c r="G1982" t="n">
        <v>0.3675034921028361</v>
      </c>
      <c r="H1982" t="n">
        <v>0.0180094183104954</v>
      </c>
      <c r="I1982" t="n">
        <v>0.2367601397239524</v>
      </c>
      <c r="J1982" t="n">
        <v>0.4073612733966798</v>
      </c>
      <c r="K1982" t="n">
        <v>0.0440672895187852</v>
      </c>
      <c r="L1982" t="b">
        <v>0</v>
      </c>
      <c r="M1982" t="b">
        <v>0</v>
      </c>
      <c r="N1982" t="inlineStr">
        <is>
          <t>alt</t>
        </is>
      </c>
      <c r="O1982" t="n">
        <v>95</v>
      </c>
      <c r="P1982" t="n">
        <v>0.00769</v>
      </c>
      <c r="Q1982" t="n">
        <v>20</v>
      </c>
      <c r="R1982" t="n">
        <v>0.0432</v>
      </c>
      <c r="S1982">
        <f>IMAGE("https://mitra.stanford.edu/kundaje/oak/projects/neuro-variants/variant_position/credible/roussos_2024/variant_figures/roussos_2024.infant.GLU/rs11664298_count_position.png",4,220,900)</f>
        <v/>
      </c>
      <c r="T1982">
        <f>IMAGE("https://mitra.stanford.edu/kundaje/oak/projects/neuro-variants/variant_position/credible/roussos_2024/variant_figures/roussos_2024.infant.GLU/rs11664298_profile_position.png",4,220,900)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0.45869495</v>
      </c>
      <c r="G1983" t="n">
        <v>0.0006067654227312</v>
      </c>
      <c r="H1983" t="n">
        <v>0.0671552364791082</v>
      </c>
      <c r="I1983" t="n">
        <v>0.0017155301771559</v>
      </c>
      <c r="J1983" t="n">
        <v>0.8213915650697767</v>
      </c>
      <c r="K1983" t="n">
        <v>0.0071235113333206</v>
      </c>
      <c r="L1983" t="b">
        <v>1</v>
      </c>
      <c r="M1983" t="b">
        <v>1</v>
      </c>
      <c r="N1983" t="inlineStr">
        <is>
          <t>alt</t>
        </is>
      </c>
      <c r="O1983" t="n">
        <v>-100</v>
      </c>
      <c r="P1983" t="n">
        <v>0.01216</v>
      </c>
      <c r="Q1983" t="n">
        <v>-50</v>
      </c>
      <c r="R1983" t="n">
        <v>0.083</v>
      </c>
      <c r="S1983">
        <f>IMAGE("https://mitra.stanford.edu/kundaje/oak/projects/neuro-variants/variant_position/credible/roussos_2024/variant_figures/roussos_2024.infant.GLU/rs59183289_count_position.png",4,220,900)</f>
        <v/>
      </c>
      <c r="T1983">
        <f>IMAGE("https://mitra.stanford.edu/kundaje/oak/projects/neuro-variants/variant_position/credible/roussos_2024/variant_figures/roussos_2024.infant.GLU/rs59183289_profile_position.png",4,220,900)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0.0831245494</v>
      </c>
      <c r="G1984" t="n">
        <v>0.0725052842349044</v>
      </c>
      <c r="H1984" t="n">
        <v>0.0187802674124047</v>
      </c>
      <c r="I1984" t="n">
        <v>0.2137806637027902</v>
      </c>
      <c r="J1984" t="n">
        <v>0.7375614541766793</v>
      </c>
      <c r="K1984" t="n">
        <v>0.0117923814315208</v>
      </c>
      <c r="L1984" t="b">
        <v>0</v>
      </c>
      <c r="M1984" t="b">
        <v>0</v>
      </c>
      <c r="N1984" t="inlineStr">
        <is>
          <t>alt</t>
        </is>
      </c>
      <c r="O1984" t="n">
        <v>-95</v>
      </c>
      <c r="P1984" t="n">
        <v>0.002449</v>
      </c>
      <c r="Q1984" t="n">
        <v>10</v>
      </c>
      <c r="R1984" t="n">
        <v>0.03076</v>
      </c>
      <c r="S1984">
        <f>IMAGE("https://mitra.stanford.edu/kundaje/oak/projects/neuro-variants/variant_position/credible/roussos_2024/variant_figures/roussos_2024.infant.GLU/rs72980085_count_position.png",4,220,900)</f>
        <v/>
      </c>
      <c r="T1984">
        <f>IMAGE("https://mitra.stanford.edu/kundaje/oak/projects/neuro-variants/variant_position/credible/roussos_2024/variant_figures/roussos_2024.infant.GLU/rs72980085_profile_position.png",4,220,900)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-0.0227133274</v>
      </c>
      <c r="G1985" t="n">
        <v>0.4101129241433133</v>
      </c>
      <c r="H1985" t="n">
        <v>0.012250449074072</v>
      </c>
      <c r="I1985" t="n">
        <v>0.5414680981080974</v>
      </c>
      <c r="J1985" t="n">
        <v>0.2812815538261425</v>
      </c>
      <c r="K1985" t="n">
        <v>0.0748060464839006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0.04916</v>
      </c>
      <c r="Q1985" t="n">
        <v>-100</v>
      </c>
      <c r="R1985" t="n">
        <v>0.03888</v>
      </c>
      <c r="S1985">
        <f>IMAGE("https://mitra.stanford.edu/kundaje/oak/projects/neuro-variants/variant_position/credible/roussos_2024/variant_figures/roussos_2024.infant.GLU/rs56197868_count_position.png",4,220,900)</f>
        <v/>
      </c>
      <c r="T1985">
        <f>IMAGE("https://mitra.stanford.edu/kundaje/oak/projects/neuro-variants/variant_position/credible/roussos_2024/variant_figures/roussos_2024.infant.GLU/rs56197868_profile_position.png",4,220,900)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-0.07840497019999999</v>
      </c>
      <c r="G1986" t="n">
        <v>0.0852312239443251</v>
      </c>
      <c r="H1986" t="n">
        <v>0.0184279979552191</v>
      </c>
      <c r="I1986" t="n">
        <v>0.2304719712660445</v>
      </c>
      <c r="J1986" t="n">
        <v>0.8239610661610705</v>
      </c>
      <c r="K1986" t="n">
        <v>0.0070039622957161</v>
      </c>
      <c r="L1986" t="b">
        <v>0</v>
      </c>
      <c r="M1986" t="b">
        <v>0</v>
      </c>
      <c r="N1986" t="inlineStr">
        <is>
          <t>ref</t>
        </is>
      </c>
      <c r="O1986" t="n">
        <v>90</v>
      </c>
      <c r="P1986" t="n">
        <v>0.015205</v>
      </c>
      <c r="Q1986" t="n">
        <v>35</v>
      </c>
      <c r="R1986" t="n">
        <v>0.1309</v>
      </c>
      <c r="S1986">
        <f>IMAGE("https://mitra.stanford.edu/kundaje/oak/projects/neuro-variants/variant_position/credible/roussos_2024/variant_figures/roussos_2024.infant.GLU/rs4239346_count_position.png",4,220,900)</f>
        <v/>
      </c>
      <c r="T1986">
        <f>IMAGE("https://mitra.stanford.edu/kundaje/oak/projects/neuro-variants/variant_position/credible/roussos_2024/variant_figures/roussos_2024.infant.GLU/rs4239346_profile_position.png",4,220,900)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0.01560631852</v>
      </c>
      <c r="G1987" t="n">
        <v>0.4394241043390076</v>
      </c>
      <c r="H1987" t="n">
        <v>0.009128601170378199</v>
      </c>
      <c r="I1987" t="n">
        <v>0.8067153066142491</v>
      </c>
      <c r="J1987" t="n">
        <v>0.5459126083026522</v>
      </c>
      <c r="K1987" t="n">
        <v>0.025956226795138</v>
      </c>
      <c r="L1987" t="b">
        <v>0</v>
      </c>
      <c r="M1987" t="b">
        <v>0</v>
      </c>
      <c r="N1987" t="inlineStr">
        <is>
          <t>alt</t>
        </is>
      </c>
      <c r="O1987" t="n">
        <v>70</v>
      </c>
      <c r="P1987" t="n">
        <v>0.014404</v>
      </c>
      <c r="Q1987" t="n">
        <v>10</v>
      </c>
      <c r="R1987" t="n">
        <v>0.006428</v>
      </c>
      <c r="S1987">
        <f>IMAGE("https://mitra.stanford.edu/kundaje/oak/projects/neuro-variants/variant_position/credible/roussos_2024/variant_figures/roussos_2024.infant.GLU/rs11662267_count_position.png",4,220,900)</f>
        <v/>
      </c>
      <c r="T1987">
        <f>IMAGE("https://mitra.stanford.edu/kundaje/oak/projects/neuro-variants/variant_position/credible/roussos_2024/variant_figures/roussos_2024.infant.GLU/rs11662267_profile_position.png",4,220,900)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-0.0356211605999999</v>
      </c>
      <c r="G1988" t="n">
        <v>0.296744093388001</v>
      </c>
      <c r="H1988" t="n">
        <v>0.0139844341146906</v>
      </c>
      <c r="I1988" t="n">
        <v>0.4257052729725656</v>
      </c>
      <c r="J1988" t="n">
        <v>0.0309221984611653</v>
      </c>
      <c r="K1988" t="n">
        <v>0.4460016539020295</v>
      </c>
      <c r="L1988" t="b">
        <v>0</v>
      </c>
      <c r="M1988" t="b">
        <v>0</v>
      </c>
      <c r="N1988" t="inlineStr">
        <is>
          <t>ref</t>
        </is>
      </c>
      <c r="O1988" t="n">
        <v>100</v>
      </c>
      <c r="P1988" t="n">
        <v>0.03812</v>
      </c>
      <c r="Q1988" t="n">
        <v>100</v>
      </c>
      <c r="R1988" t="n">
        <v>0.2314</v>
      </c>
      <c r="S1988">
        <f>IMAGE("https://mitra.stanford.edu/kundaje/oak/projects/neuro-variants/variant_position/credible/roussos_2024/variant_figures/roussos_2024.infant.GLU/rs12953577_count_position.png",4,220,900)</f>
        <v/>
      </c>
      <c r="T1988">
        <f>IMAGE("https://mitra.stanford.edu/kundaje/oak/projects/neuro-variants/variant_position/credible/roussos_2024/variant_figures/roussos_2024.infant.GLU/rs12953577_profile_position.png",4,220,900)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0.206337086</v>
      </c>
      <c r="G1989" t="n">
        <v>0.009857553413357799</v>
      </c>
      <c r="H1989" t="n">
        <v>0.0301246998656397</v>
      </c>
      <c r="I1989" t="n">
        <v>0.0580055553984969</v>
      </c>
      <c r="J1989" t="n">
        <v>0.5772889613968563</v>
      </c>
      <c r="K1989" t="n">
        <v>0.0229189878038508</v>
      </c>
      <c r="L1989" t="b">
        <v>1</v>
      </c>
      <c r="M1989" t="b">
        <v>1</v>
      </c>
      <c r="N1989" t="inlineStr">
        <is>
          <t>alt</t>
        </is>
      </c>
      <c r="O1989" t="n">
        <v>-60</v>
      </c>
      <c r="P1989" t="n">
        <v>0.004257</v>
      </c>
      <c r="Q1989" t="n">
        <v>75</v>
      </c>
      <c r="R1989" t="n">
        <v>0.1218</v>
      </c>
      <c r="S1989">
        <f>IMAGE("https://mitra.stanford.edu/kundaje/oak/projects/neuro-variants/variant_position/credible/roussos_2024/variant_figures/roussos_2024.infant.GLU/rs56862829_count_position.png",4,220,900)</f>
        <v/>
      </c>
      <c r="T1989">
        <f>IMAGE("https://mitra.stanford.edu/kundaje/oak/projects/neuro-variants/variant_position/credible/roussos_2024/variant_figures/roussos_2024.infant.GLU/rs56862829_profile_position.png",4,220,900)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-0.0317747916</v>
      </c>
      <c r="G1990" t="n">
        <v>0.3069965380222066</v>
      </c>
      <c r="H1990" t="n">
        <v>0.0105960007277347</v>
      </c>
      <c r="I1990" t="n">
        <v>0.6830337428756144</v>
      </c>
      <c r="J1990" t="n">
        <v>0.2007583941444917</v>
      </c>
      <c r="K1990" t="n">
        <v>0.1095494491586806</v>
      </c>
      <c r="L1990" t="b">
        <v>0</v>
      </c>
      <c r="M1990" t="b">
        <v>0</v>
      </c>
      <c r="N1990" t="inlineStr">
        <is>
          <t>ref</t>
        </is>
      </c>
      <c r="O1990" t="n">
        <v>-85</v>
      </c>
      <c r="P1990" t="n">
        <v>0.00759</v>
      </c>
      <c r="Q1990" t="n">
        <v>100</v>
      </c>
      <c r="R1990" t="n">
        <v>0.01465</v>
      </c>
      <c r="S1990">
        <f>IMAGE("https://mitra.stanford.edu/kundaje/oak/projects/neuro-variants/variant_position/credible/roussos_2024/variant_figures/roussos_2024.infant.GLU/rs72486339_count_position.png",4,220,900)</f>
        <v/>
      </c>
      <c r="T1990">
        <f>IMAGE("https://mitra.stanford.edu/kundaje/oak/projects/neuro-variants/variant_position/credible/roussos_2024/variant_figures/roussos_2024.infant.GLU/rs72486339_profile_position.png",4,220,900)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-0.00567796382</v>
      </c>
      <c r="G1991" t="n">
        <v>0.6649260343835699</v>
      </c>
      <c r="H1991" t="n">
        <v>0.0412489936553788</v>
      </c>
      <c r="I1991" t="n">
        <v>0.017902282255741</v>
      </c>
      <c r="J1991" t="n">
        <v>0.0053429308406269</v>
      </c>
      <c r="K1991" t="n">
        <v>0.7417695305263853</v>
      </c>
      <c r="L1991" t="b">
        <v>0</v>
      </c>
      <c r="M1991" t="b">
        <v>0</v>
      </c>
      <c r="N1991" t="inlineStr">
        <is>
          <t>ref</t>
        </is>
      </c>
      <c r="O1991" t="n">
        <v>-30</v>
      </c>
      <c r="P1991" t="n">
        <v>0.006775</v>
      </c>
      <c r="Q1991" t="n">
        <v>100</v>
      </c>
      <c r="R1991" t="n">
        <v>0.04675</v>
      </c>
      <c r="S1991">
        <f>IMAGE("https://mitra.stanford.edu/kundaje/oak/projects/neuro-variants/variant_position/credible/roussos_2024/variant_figures/roussos_2024.infant.GLU/rs117443676_count_position.png",4,220,900)</f>
        <v/>
      </c>
      <c r="T1991">
        <f>IMAGE("https://mitra.stanford.edu/kundaje/oak/projects/neuro-variants/variant_position/credible/roussos_2024/variant_figures/roussos_2024.infant.GLU/rs117443676_profile_position.png",4,220,900)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-0.01594527848</v>
      </c>
      <c r="G1992" t="n">
        <v>0.5311877475080274</v>
      </c>
      <c r="H1992" t="n">
        <v>0.0119286156404502</v>
      </c>
      <c r="I1992" t="n">
        <v>0.5684196646607919</v>
      </c>
      <c r="J1992" t="n">
        <v>0.1054630834013095</v>
      </c>
      <c r="K1992" t="n">
        <v>0.20534176948089</v>
      </c>
      <c r="L1992" t="b">
        <v>0</v>
      </c>
      <c r="M1992" t="b">
        <v>0</v>
      </c>
      <c r="N1992" t="inlineStr">
        <is>
          <t>ref</t>
        </is>
      </c>
      <c r="O1992" t="n">
        <v>70</v>
      </c>
      <c r="P1992" t="n">
        <v>0.001709</v>
      </c>
      <c r="Q1992" t="n">
        <v>95</v>
      </c>
      <c r="R1992" t="n">
        <v>0.01752</v>
      </c>
      <c r="S1992">
        <f>IMAGE("https://mitra.stanford.edu/kundaje/oak/projects/neuro-variants/variant_position/credible/roussos_2024/variant_figures/roussos_2024.infant.GLU/rs149339216_count_position.png",4,220,900)</f>
        <v/>
      </c>
      <c r="T1992">
        <f>IMAGE("https://mitra.stanford.edu/kundaje/oak/projects/neuro-variants/variant_position/credible/roussos_2024/variant_figures/roussos_2024.infant.GLU/rs149339216_profile_position.png",4,220,900)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-0.0816829642</v>
      </c>
      <c r="G1993" t="n">
        <v>0.07583989247979139</v>
      </c>
      <c r="H1993" t="n">
        <v>0.014307668875795</v>
      </c>
      <c r="I1993" t="n">
        <v>0.3981651583500731</v>
      </c>
      <c r="J1993" t="n">
        <v>0.4434786922110275</v>
      </c>
      <c r="K1993" t="n">
        <v>0.0382442618906185</v>
      </c>
      <c r="L1993" t="b">
        <v>0</v>
      </c>
      <c r="M1993" t="b">
        <v>0</v>
      </c>
      <c r="N1993" t="inlineStr">
        <is>
          <t>ref</t>
        </is>
      </c>
      <c r="O1993" t="n">
        <v>-100</v>
      </c>
      <c r="P1993" t="n">
        <v>0.007095</v>
      </c>
      <c r="Q1993" t="n">
        <v>-45</v>
      </c>
      <c r="R1993" t="n">
        <v>0.0631</v>
      </c>
      <c r="S1993">
        <f>IMAGE("https://mitra.stanford.edu/kundaje/oak/projects/neuro-variants/variant_position/credible/roussos_2024/variant_figures/roussos_2024.infant.GLU/rs75138150_count_position.png",4,220,900)</f>
        <v/>
      </c>
      <c r="T1993">
        <f>IMAGE("https://mitra.stanford.edu/kundaje/oak/projects/neuro-variants/variant_position/credible/roussos_2024/variant_figures/roussos_2024.infant.GLU/rs75138150_profile_position.png",4,220,900)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0.0890203832</v>
      </c>
      <c r="G1994" t="n">
        <v>0.0622852118518142</v>
      </c>
      <c r="H1994" t="n">
        <v>0.0269261915832645</v>
      </c>
      <c r="I1994" t="n">
        <v>0.0829351463969078</v>
      </c>
      <c r="J1994" t="n">
        <v>0.753678432064199</v>
      </c>
      <c r="K1994" t="n">
        <v>0.0109259769811126</v>
      </c>
      <c r="L1994" t="b">
        <v>0</v>
      </c>
      <c r="M1994" t="b">
        <v>0</v>
      </c>
      <c r="N1994" t="inlineStr">
        <is>
          <t>alt</t>
        </is>
      </c>
      <c r="O1994" t="n">
        <v>-100</v>
      </c>
      <c r="P1994" t="n">
        <v>0.005775</v>
      </c>
      <c r="Q1994" t="n">
        <v>-100</v>
      </c>
      <c r="R1994" t="n">
        <v>0.04767</v>
      </c>
      <c r="S1994">
        <f>IMAGE("https://mitra.stanford.edu/kundaje/oak/projects/neuro-variants/variant_position/credible/roussos_2024/variant_figures/roussos_2024.infant.GLU/rs141958336_count_position.png",4,220,900)</f>
        <v/>
      </c>
      <c r="T1994">
        <f>IMAGE("https://mitra.stanford.edu/kundaje/oak/projects/neuro-variants/variant_position/credible/roussos_2024/variant_figures/roussos_2024.infant.GLU/rs141958336_profile_position.png",4,220,900)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0.0855902434</v>
      </c>
      <c r="G1995" t="n">
        <v>0.0685324301201686</v>
      </c>
      <c r="H1995" t="n">
        <v>0.0255072483726724</v>
      </c>
      <c r="I1995" t="n">
        <v>0.0974329419189172</v>
      </c>
      <c r="J1995" t="n">
        <v>0.1843570184527877</v>
      </c>
      <c r="K1995" t="n">
        <v>0.1266647410267218</v>
      </c>
      <c r="L1995" t="b">
        <v>0</v>
      </c>
      <c r="M1995" t="b">
        <v>0</v>
      </c>
      <c r="N1995" t="inlineStr">
        <is>
          <t>alt</t>
        </is>
      </c>
      <c r="O1995" t="n">
        <v>-100</v>
      </c>
      <c r="P1995" t="n">
        <v>0.006214</v>
      </c>
      <c r="Q1995" t="n">
        <v>-100</v>
      </c>
      <c r="R1995" t="n">
        <v>0.0684</v>
      </c>
      <c r="S1995">
        <f>IMAGE("https://mitra.stanford.edu/kundaje/oak/projects/neuro-variants/variant_position/credible/roussos_2024/variant_figures/roussos_2024.infant.GLU/rs111785160_count_position.png",4,220,900)</f>
        <v/>
      </c>
      <c r="T1995">
        <f>IMAGE("https://mitra.stanford.edu/kundaje/oak/projects/neuro-variants/variant_position/credible/roussos_2024/variant_figures/roussos_2024.infant.GLU/rs111785160_profile_position.png",4,220,900)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-0.0487790378</v>
      </c>
      <c r="G1996" t="n">
        <v>0.1730363856903765</v>
      </c>
      <c r="H1996" t="n">
        <v>0.0160708315381378</v>
      </c>
      <c r="I1996" t="n">
        <v>0.3115652475348348</v>
      </c>
      <c r="J1996" t="n">
        <v>0.1935062501377896</v>
      </c>
      <c r="K1996" t="n">
        <v>0.1185568139620837</v>
      </c>
      <c r="L1996" t="b">
        <v>0</v>
      </c>
      <c r="M1996" t="b">
        <v>0</v>
      </c>
      <c r="N1996" t="inlineStr">
        <is>
          <t>ref</t>
        </is>
      </c>
      <c r="O1996" t="n">
        <v>70</v>
      </c>
      <c r="P1996" t="n">
        <v>0.008630000000000001</v>
      </c>
      <c r="Q1996" t="n">
        <v>-65</v>
      </c>
      <c r="R1996" t="n">
        <v>0.10706</v>
      </c>
      <c r="S1996">
        <f>IMAGE("https://mitra.stanford.edu/kundaje/oak/projects/neuro-variants/variant_position/credible/roussos_2024/variant_figures/roussos_2024.infant.GLU/rs77188636_count_position.png",4,220,900)</f>
        <v/>
      </c>
      <c r="T1996">
        <f>IMAGE("https://mitra.stanford.edu/kundaje/oak/projects/neuro-variants/variant_position/credible/roussos_2024/variant_figures/roussos_2024.infant.GLU/rs77188636_profile_position.png",4,220,900)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-0.117524098</v>
      </c>
      <c r="G1997" t="n">
        <v>0.0369762739611403</v>
      </c>
      <c r="H1997" t="n">
        <v>0.0134958740878797</v>
      </c>
      <c r="I1997" t="n">
        <v>0.4483782700359732</v>
      </c>
      <c r="J1997" t="n">
        <v>0.0513315990211424</v>
      </c>
      <c r="K1997" t="n">
        <v>0.3384894758404225</v>
      </c>
      <c r="L1997" t="b">
        <v>0</v>
      </c>
      <c r="M1997" t="b">
        <v>0</v>
      </c>
      <c r="N1997" t="inlineStr">
        <is>
          <t>ref</t>
        </is>
      </c>
      <c r="O1997" t="n">
        <v>-100</v>
      </c>
      <c r="P1997" t="n">
        <v>0.008026</v>
      </c>
      <c r="Q1997" t="n">
        <v>-20</v>
      </c>
      <c r="R1997" t="n">
        <v>0.02437</v>
      </c>
      <c r="S1997">
        <f>IMAGE("https://mitra.stanford.edu/kundaje/oak/projects/neuro-variants/variant_position/credible/roussos_2024/variant_figures/roussos_2024.infant.GLU/rs62119705_count_position.png",4,220,900)</f>
        <v/>
      </c>
      <c r="T1997">
        <f>IMAGE("https://mitra.stanford.edu/kundaje/oak/projects/neuro-variants/variant_position/credible/roussos_2024/variant_figures/roussos_2024.infant.GLU/rs62119705_profile_position.png",4,220,900)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-0.00163283168</v>
      </c>
      <c r="G1998" t="n">
        <v>0.8090639842107735</v>
      </c>
      <c r="H1998" t="n">
        <v>0.0121012848385203</v>
      </c>
      <c r="I1998" t="n">
        <v>0.5543130311388973</v>
      </c>
      <c r="J1998" t="n">
        <v>0.0572664741286183</v>
      </c>
      <c r="K1998" t="n">
        <v>0.3258565253043256</v>
      </c>
      <c r="L1998" t="b">
        <v>0</v>
      </c>
      <c r="M1998" t="b">
        <v>0</v>
      </c>
      <c r="N1998" t="inlineStr">
        <is>
          <t>ref</t>
        </is>
      </c>
      <c r="O1998" t="n">
        <v>85</v>
      </c>
      <c r="P1998" t="n">
        <v>0.2253</v>
      </c>
      <c r="Q1998" t="n">
        <v>-100</v>
      </c>
      <c r="R1998" t="n">
        <v>0.1416</v>
      </c>
      <c r="S1998">
        <f>IMAGE("https://mitra.stanford.edu/kundaje/oak/projects/neuro-variants/variant_position/credible/roussos_2024/variant_figures/roussos_2024.infant.GLU/rs4807003_count_position.png",4,220,900)</f>
        <v/>
      </c>
      <c r="T1998">
        <f>IMAGE("https://mitra.stanford.edu/kundaje/oak/projects/neuro-variants/variant_position/credible/roussos_2024/variant_figures/roussos_2024.infant.GLU/rs4807003_profile_position.png",4,220,900)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-0.00484695506</v>
      </c>
      <c r="G1999" t="n">
        <v>0.7086535803703579</v>
      </c>
      <c r="H1999" t="n">
        <v>0.009731194968849499</v>
      </c>
      <c r="I1999" t="n">
        <v>0.76519585712436</v>
      </c>
      <c r="J1999" t="n">
        <v>0.0369496682025617</v>
      </c>
      <c r="K1999" t="n">
        <v>0.4078749963647982</v>
      </c>
      <c r="L1999" t="b">
        <v>0</v>
      </c>
      <c r="M1999" t="b">
        <v>0</v>
      </c>
      <c r="N1999" t="inlineStr">
        <is>
          <t>ref</t>
        </is>
      </c>
      <c r="O1999" t="n">
        <v>70</v>
      </c>
      <c r="P1999" t="n">
        <v>0.02289</v>
      </c>
      <c r="Q1999" t="n">
        <v>-10</v>
      </c>
      <c r="R1999" t="n">
        <v>0.01503</v>
      </c>
      <c r="S1999">
        <f>IMAGE("https://mitra.stanford.edu/kundaje/oak/projects/neuro-variants/variant_position/credible/roussos_2024/variant_figures/roussos_2024.infant.GLU/rs35502362_count_position.png",4,220,900)</f>
        <v/>
      </c>
      <c r="T1999">
        <f>IMAGE("https://mitra.stanford.edu/kundaje/oak/projects/neuro-variants/variant_position/credible/roussos_2024/variant_figures/roussos_2024.infant.GLU/rs35502362_profile_position.png",4,220,900)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-0.107352642</v>
      </c>
      <c r="G2000" t="n">
        <v>0.0431922224031849</v>
      </c>
      <c r="H2000" t="n">
        <v>0.0171811964171799</v>
      </c>
      <c r="I2000" t="n">
        <v>0.2660257853655757</v>
      </c>
      <c r="J2000" t="n">
        <v>0.0646012919156065</v>
      </c>
      <c r="K2000" t="n">
        <v>0.3017062771789969</v>
      </c>
      <c r="L2000" t="b">
        <v>0</v>
      </c>
      <c r="M2000" t="b">
        <v>0</v>
      </c>
      <c r="N2000" t="inlineStr">
        <is>
          <t>ref</t>
        </is>
      </c>
      <c r="O2000" t="n">
        <v>100</v>
      </c>
      <c r="P2000" t="n">
        <v>0.00563</v>
      </c>
      <c r="Q2000" t="n">
        <v>100</v>
      </c>
      <c r="R2000" t="n">
        <v>0.0891</v>
      </c>
      <c r="S2000">
        <f>IMAGE("https://mitra.stanford.edu/kundaje/oak/projects/neuro-variants/variant_position/credible/roussos_2024/variant_figures/roussos_2024.infant.GLU/rs34009962_count_position.png",4,220,900)</f>
        <v/>
      </c>
      <c r="T2000">
        <f>IMAGE("https://mitra.stanford.edu/kundaje/oak/projects/neuro-variants/variant_position/credible/roussos_2024/variant_figures/roussos_2024.infant.GLU/rs34009962_profile_position.png",4,220,900)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0.0684741032</v>
      </c>
      <c r="G2001" t="n">
        <v>0.0995567201983661</v>
      </c>
      <c r="H2001" t="n">
        <v>0.0210658786961522</v>
      </c>
      <c r="I2001" t="n">
        <v>0.1602607973730423</v>
      </c>
      <c r="J2001" t="n">
        <v>0.0167838797151612</v>
      </c>
      <c r="K2001" t="n">
        <v>0.5749391450630872</v>
      </c>
      <c r="L2001" t="b">
        <v>0</v>
      </c>
      <c r="M2001" t="b">
        <v>0</v>
      </c>
      <c r="N2001" t="inlineStr">
        <is>
          <t>alt</t>
        </is>
      </c>
      <c r="O2001" t="n">
        <v>-40</v>
      </c>
      <c r="P2001" t="n">
        <v>0.01639</v>
      </c>
      <c r="Q2001" t="n">
        <v>-90</v>
      </c>
      <c r="R2001" t="n">
        <v>0.0625</v>
      </c>
      <c r="S2001">
        <f>IMAGE("https://mitra.stanford.edu/kundaje/oak/projects/neuro-variants/variant_position/credible/roussos_2024/variant_figures/roussos_2024.infant.GLU/rs113848170_count_position.png",4,220,900)</f>
        <v/>
      </c>
      <c r="T2001">
        <f>IMAGE("https://mitra.stanford.edu/kundaje/oak/projects/neuro-variants/variant_position/credible/roussos_2024/variant_figures/roussos_2024.infant.GLU/rs113848170_profile_position.png",4,220,900)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0.0206309246</v>
      </c>
      <c r="G2002" t="n">
        <v>0.4236647556357956</v>
      </c>
      <c r="H2002" t="n">
        <v>0.0501677318882265</v>
      </c>
      <c r="I2002" t="n">
        <v>0.0074712749160169</v>
      </c>
      <c r="J2002" t="n">
        <v>0.0053429308406269</v>
      </c>
      <c r="K2002" t="n">
        <v>0.743383083439621</v>
      </c>
      <c r="L2002" t="b">
        <v>0</v>
      </c>
      <c r="M2002" t="b">
        <v>0</v>
      </c>
      <c r="N2002" t="inlineStr">
        <is>
          <t>alt</t>
        </is>
      </c>
      <c r="O2002" t="n">
        <v>50</v>
      </c>
      <c r="P2002" t="n">
        <v>0.01929</v>
      </c>
      <c r="Q2002" t="n">
        <v>50</v>
      </c>
      <c r="R2002" t="n">
        <v>0.0451</v>
      </c>
      <c r="S2002">
        <f>IMAGE("https://mitra.stanford.edu/kundaje/oak/projects/neuro-variants/variant_position/credible/roussos_2024/variant_figures/roussos_2024.infant.GLU/rs34538000_count_position.png",4,220,900)</f>
        <v/>
      </c>
      <c r="T2002">
        <f>IMAGE("https://mitra.stanford.edu/kundaje/oak/projects/neuro-variants/variant_position/credible/roussos_2024/variant_figures/roussos_2024.infant.GLU/rs34538000_profile_position.png",4,220,900)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0.165655004</v>
      </c>
      <c r="G2003" t="n">
        <v>0.0170348858277235</v>
      </c>
      <c r="H2003" t="n">
        <v>0.0248981446121135</v>
      </c>
      <c r="I2003" t="n">
        <v>0.1030938086640446</v>
      </c>
      <c r="J2003" t="n">
        <v>0.0122026499702373</v>
      </c>
      <c r="K2003" t="n">
        <v>0.6323867220607849</v>
      </c>
      <c r="L2003" t="b">
        <v>1</v>
      </c>
      <c r="M2003" t="b">
        <v>0</v>
      </c>
      <c r="N2003" t="inlineStr">
        <is>
          <t>alt</t>
        </is>
      </c>
      <c r="O2003" t="n">
        <v>80</v>
      </c>
      <c r="P2003" t="n">
        <v>0.01234</v>
      </c>
      <c r="Q2003" t="n">
        <v>100</v>
      </c>
      <c r="R2003" t="n">
        <v>0.0727</v>
      </c>
      <c r="S2003">
        <f>IMAGE("https://mitra.stanford.edu/kundaje/oak/projects/neuro-variants/variant_position/credible/roussos_2024/variant_figures/roussos_2024.infant.GLU/rs2965180_count_position.png",4,220,900)</f>
        <v/>
      </c>
      <c r="T2003">
        <f>IMAGE("https://mitra.stanford.edu/kundaje/oak/projects/neuro-variants/variant_position/credible/roussos_2024/variant_figures/roussos_2024.infant.GLU/rs2965180_profile_position.png",4,220,900)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0.02510878446</v>
      </c>
      <c r="G2004" t="n">
        <v>0.3744939719959165</v>
      </c>
      <c r="H2004" t="n">
        <v>0.0124117804443792</v>
      </c>
      <c r="I2004" t="n">
        <v>0.5221864839662875</v>
      </c>
      <c r="J2004" t="n">
        <v>0.1119094336294891</v>
      </c>
      <c r="K2004" t="n">
        <v>0.1883132989353474</v>
      </c>
      <c r="L2004" t="b">
        <v>0</v>
      </c>
      <c r="M2004" t="b">
        <v>0</v>
      </c>
      <c r="N2004" t="inlineStr">
        <is>
          <t>alt</t>
        </is>
      </c>
      <c r="O2004" t="n">
        <v>-95</v>
      </c>
      <c r="P2004" t="n">
        <v>0.02725</v>
      </c>
      <c r="Q2004" t="n">
        <v>-85</v>
      </c>
      <c r="R2004" t="n">
        <v>0.2179</v>
      </c>
      <c r="S2004">
        <f>IMAGE("https://mitra.stanford.edu/kundaje/oak/projects/neuro-variants/variant_position/credible/roussos_2024/variant_figures/roussos_2024.infant.GLU/rs2916073_count_position.png",4,220,900)</f>
        <v/>
      </c>
      <c r="T2004">
        <f>IMAGE("https://mitra.stanford.edu/kundaje/oak/projects/neuro-variants/variant_position/credible/roussos_2024/variant_figures/roussos_2024.infant.GLU/rs2916073_profile_position.png",4,220,900)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0.073163572</v>
      </c>
      <c r="G2005" t="n">
        <v>0.0899278820814547</v>
      </c>
      <c r="H2005" t="n">
        <v>0.013044593221873</v>
      </c>
      <c r="I2005" t="n">
        <v>0.4811067561070823</v>
      </c>
      <c r="J2005" t="n">
        <v>0.1139465155757401</v>
      </c>
      <c r="K2005" t="n">
        <v>0.184426417553602</v>
      </c>
      <c r="L2005" t="b">
        <v>0</v>
      </c>
      <c r="M2005" t="b">
        <v>0</v>
      </c>
      <c r="N2005" t="inlineStr">
        <is>
          <t>alt</t>
        </is>
      </c>
      <c r="O2005" t="n">
        <v>85</v>
      </c>
      <c r="P2005" t="n">
        <v>0.00501</v>
      </c>
      <c r="Q2005" t="n">
        <v>-90</v>
      </c>
      <c r="R2005" t="n">
        <v>0.008514000000000001</v>
      </c>
      <c r="S2005">
        <f>IMAGE("https://mitra.stanford.edu/kundaje/oak/projects/neuro-variants/variant_position/credible/roussos_2024/variant_figures/roussos_2024.infant.GLU/rs1469713_count_position.png",4,220,900)</f>
        <v/>
      </c>
      <c r="T2005">
        <f>IMAGE("https://mitra.stanford.edu/kundaje/oak/projects/neuro-variants/variant_position/credible/roussos_2024/variant_figures/roussos_2024.infant.GLU/rs1469713_profile_position.png",4,220,900)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0.032071548</v>
      </c>
      <c r="G2006" t="n">
        <v>0.2268733659252376</v>
      </c>
      <c r="H2006" t="n">
        <v>0.0123791268582947</v>
      </c>
      <c r="I2006" t="n">
        <v>0.5314871692983483</v>
      </c>
      <c r="J2006" t="n">
        <v>0.1515619832888731</v>
      </c>
      <c r="K2006" t="n">
        <v>0.1550909834860818</v>
      </c>
      <c r="L2006" t="b">
        <v>0</v>
      </c>
      <c r="M2006" t="b">
        <v>0</v>
      </c>
      <c r="N2006" t="inlineStr">
        <is>
          <t>alt</t>
        </is>
      </c>
      <c r="O2006" t="n">
        <v>-90</v>
      </c>
      <c r="P2006" t="n">
        <v>0.02979</v>
      </c>
      <c r="Q2006" t="n">
        <v>-75</v>
      </c>
      <c r="R2006" t="n">
        <v>0.03076</v>
      </c>
      <c r="S2006">
        <f>IMAGE("https://mitra.stanford.edu/kundaje/oak/projects/neuro-variants/variant_position/credible/roussos_2024/variant_figures/roussos_2024.infant.GLU/rs10405625_count_position.png",4,220,900)</f>
        <v/>
      </c>
      <c r="T2006">
        <f>IMAGE("https://mitra.stanford.edu/kundaje/oak/projects/neuro-variants/variant_position/credible/roussos_2024/variant_figures/roussos_2024.infant.GLU/rs10405625_profile_position.png",4,220,900)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0.0524858406</v>
      </c>
      <c r="G2007" t="n">
        <v>0.1549336596493225</v>
      </c>
      <c r="H2007" t="n">
        <v>0.0125084379732037</v>
      </c>
      <c r="I2007" t="n">
        <v>0.5198077081439999</v>
      </c>
      <c r="J2007" t="n">
        <v>0.1695418770255075</v>
      </c>
      <c r="K2007" t="n">
        <v>0.1301205626072972</v>
      </c>
      <c r="L2007" t="b">
        <v>0</v>
      </c>
      <c r="M2007" t="b">
        <v>0</v>
      </c>
      <c r="N2007" t="inlineStr">
        <is>
          <t>alt</t>
        </is>
      </c>
      <c r="O2007" t="n">
        <v>50</v>
      </c>
      <c r="P2007" t="n">
        <v>0.001698</v>
      </c>
      <c r="Q2007" t="n">
        <v>65</v>
      </c>
      <c r="R2007" t="n">
        <v>0.1558</v>
      </c>
      <c r="S2007">
        <f>IMAGE("https://mitra.stanford.edu/kundaje/oak/projects/neuro-variants/variant_position/credible/roussos_2024/variant_figures/roussos_2024.infant.GLU/rs3752151_count_position.png",4,220,900)</f>
        <v/>
      </c>
      <c r="T2007">
        <f>IMAGE("https://mitra.stanford.edu/kundaje/oak/projects/neuro-variants/variant_position/credible/roussos_2024/variant_figures/roussos_2024.infant.GLU/rs3752151_profile_position.png",4,220,900)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0.171243605</v>
      </c>
      <c r="G2008" t="n">
        <v>0.0169008018671406</v>
      </c>
      <c r="H2008" t="n">
        <v>0.02408109588629</v>
      </c>
      <c r="I2008" t="n">
        <v>0.1195574404425618</v>
      </c>
      <c r="J2008" t="n">
        <v>0.1628034127736501</v>
      </c>
      <c r="K2008" t="n">
        <v>0.1395026531795321</v>
      </c>
      <c r="L2008" t="b">
        <v>1</v>
      </c>
      <c r="M2008" t="b">
        <v>0</v>
      </c>
      <c r="N2008" t="inlineStr">
        <is>
          <t>alt</t>
        </is>
      </c>
      <c r="O2008" t="n">
        <v>25</v>
      </c>
      <c r="P2008" t="n">
        <v>0.00468</v>
      </c>
      <c r="Q2008" t="n">
        <v>50</v>
      </c>
      <c r="R2008" t="n">
        <v>0.05676</v>
      </c>
      <c r="S2008">
        <f>IMAGE("https://mitra.stanford.edu/kundaje/oak/projects/neuro-variants/variant_position/credible/roussos_2024/variant_figures/roussos_2024.infant.GLU/rs10282_count_position.png",4,220,900)</f>
        <v/>
      </c>
      <c r="T2008">
        <f>IMAGE("https://mitra.stanford.edu/kundaje/oak/projects/neuro-variants/variant_position/credible/roussos_2024/variant_figures/roussos_2024.infant.GLU/rs10282_profile_position.png",4,220,900)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-0.0233935738</v>
      </c>
      <c r="G2009" t="n">
        <v>0.4030408160252443</v>
      </c>
      <c r="H2009" t="n">
        <v>0.0418885510860466</v>
      </c>
      <c r="I2009" t="n">
        <v>0.0167865091185809</v>
      </c>
      <c r="J2009" t="n">
        <v>0.0146012919156065</v>
      </c>
      <c r="K2009" t="n">
        <v>0.6022938417922397</v>
      </c>
      <c r="L2009" t="b">
        <v>1</v>
      </c>
      <c r="M2009" t="b">
        <v>0</v>
      </c>
      <c r="N2009" t="inlineStr">
        <is>
          <t>ref</t>
        </is>
      </c>
      <c r="O2009" t="n">
        <v>45</v>
      </c>
      <c r="P2009" t="n">
        <v>0.001923</v>
      </c>
      <c r="Q2009" t="n">
        <v>40</v>
      </c>
      <c r="R2009" t="n">
        <v>0.05878</v>
      </c>
      <c r="S2009">
        <f>IMAGE("https://mitra.stanford.edu/kundaje/oak/projects/neuro-variants/variant_position/credible/roussos_2024/variant_figures/roussos_2024.infant.GLU/rs7253807_count_position.png",4,220,900)</f>
        <v/>
      </c>
      <c r="T2009">
        <f>IMAGE("https://mitra.stanford.edu/kundaje/oak/projects/neuro-variants/variant_position/credible/roussos_2024/variant_figures/roussos_2024.infant.GLU/rs7253807_profile_position.png",4,220,900)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0.0024795016899999</v>
      </c>
      <c r="G2010" t="n">
        <v>0.8493643921612548</v>
      </c>
      <c r="H2010" t="n">
        <v>0.010579867633392</v>
      </c>
      <c r="I2010" t="n">
        <v>0.68413484874356</v>
      </c>
      <c r="J2010" t="n">
        <v>0.1603683943649551</v>
      </c>
      <c r="K2010" t="n">
        <v>0.1423613326629244</v>
      </c>
      <c r="L2010" t="b">
        <v>0</v>
      </c>
      <c r="M2010" t="b">
        <v>0</v>
      </c>
      <c r="N2010" t="inlineStr">
        <is>
          <t>alt</t>
        </is>
      </c>
      <c r="O2010" t="n">
        <v>-60</v>
      </c>
      <c r="P2010" t="n">
        <v>0.00416</v>
      </c>
      <c r="Q2010" t="n">
        <v>-80</v>
      </c>
      <c r="R2010" t="n">
        <v>0.0835</v>
      </c>
      <c r="S2010">
        <f>IMAGE("https://mitra.stanford.edu/kundaje/oak/projects/neuro-variants/variant_position/credible/roussos_2024/variant_figures/roussos_2024.infant.GLU/rs7245983_count_position.png",4,220,900)</f>
        <v/>
      </c>
      <c r="T2010">
        <f>IMAGE("https://mitra.stanford.edu/kundaje/oak/projects/neuro-variants/variant_position/credible/roussos_2024/variant_figures/roussos_2024.infant.GLU/rs7245983_profile_position.png",4,220,900)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0.00670792292</v>
      </c>
      <c r="G2011" t="n">
        <v>0.578167309640975</v>
      </c>
      <c r="H2011" t="n">
        <v>0.0199819944677553</v>
      </c>
      <c r="I2011" t="n">
        <v>0.1850236909758301</v>
      </c>
      <c r="J2011" t="n">
        <v>0.0472684582993451</v>
      </c>
      <c r="K2011" t="n">
        <v>0.3579097267153411</v>
      </c>
      <c r="L2011" t="b">
        <v>0</v>
      </c>
      <c r="M2011" t="b">
        <v>0</v>
      </c>
      <c r="N2011" t="inlineStr">
        <is>
          <t>alt</t>
        </is>
      </c>
      <c r="O2011" t="n">
        <v>15</v>
      </c>
      <c r="P2011" t="n">
        <v>0.000473</v>
      </c>
      <c r="Q2011" t="n">
        <v>95</v>
      </c>
      <c r="R2011" t="n">
        <v>0.05286</v>
      </c>
      <c r="S2011">
        <f>IMAGE("https://mitra.stanford.edu/kundaje/oak/projects/neuro-variants/variant_position/credible/roussos_2024/variant_figures/roussos_2024.infant.GLU/rs2053079_count_position.png",4,220,900)</f>
        <v/>
      </c>
      <c r="T2011">
        <f>IMAGE("https://mitra.stanford.edu/kundaje/oak/projects/neuro-variants/variant_position/credible/roussos_2024/variant_figures/roussos_2024.infant.GLU/rs2053079_profile_position.png",4,220,900)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0.0578075133999999</v>
      </c>
      <c r="G2012" t="n">
        <v>0.1350484037138604</v>
      </c>
      <c r="H2012" t="n">
        <v>0.0152273023361175</v>
      </c>
      <c r="I2012" t="n">
        <v>0.3508341245783531</v>
      </c>
      <c r="J2012" t="n">
        <v>0.0349136885733811</v>
      </c>
      <c r="K2012" t="n">
        <v>0.4404046615348135</v>
      </c>
      <c r="L2012" t="b">
        <v>0</v>
      </c>
      <c r="M2012" t="b">
        <v>0</v>
      </c>
      <c r="N2012" t="inlineStr">
        <is>
          <t>alt</t>
        </is>
      </c>
      <c r="O2012" t="n">
        <v>-65</v>
      </c>
      <c r="P2012" t="n">
        <v>0.002537</v>
      </c>
      <c r="Q2012" t="n">
        <v>100</v>
      </c>
      <c r="R2012" t="n">
        <v>0.0801</v>
      </c>
      <c r="S2012">
        <f>IMAGE("https://mitra.stanford.edu/kundaje/oak/projects/neuro-variants/variant_position/credible/roussos_2024/variant_figures/roussos_2024.infant.GLU/rs2075419_count_position.png",4,220,900)</f>
        <v/>
      </c>
      <c r="T2012">
        <f>IMAGE("https://mitra.stanford.edu/kundaje/oak/projects/neuro-variants/variant_position/credible/roussos_2024/variant_figures/roussos_2024.infant.GLU/rs2075419_profile_position.png",4,220,900)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0.004176069</v>
      </c>
      <c r="G2013" t="n">
        <v>0.4271180293428773</v>
      </c>
      <c r="H2013" t="n">
        <v>0.0416829750307741</v>
      </c>
      <c r="I2013" t="n">
        <v>0.0169246960764497</v>
      </c>
      <c r="J2013" t="n">
        <v>0.1448003703785356</v>
      </c>
      <c r="K2013" t="n">
        <v>0.1502126941571346</v>
      </c>
      <c r="L2013" t="b">
        <v>1</v>
      </c>
      <c r="M2013" t="b">
        <v>0</v>
      </c>
      <c r="N2013" t="inlineStr">
        <is>
          <t>alt</t>
        </is>
      </c>
      <c r="O2013" t="n">
        <v>65</v>
      </c>
      <c r="P2013" t="n">
        <v>0.057</v>
      </c>
      <c r="Q2013" t="n">
        <v>-10</v>
      </c>
      <c r="R2013" t="n">
        <v>0.02515</v>
      </c>
      <c r="S2013">
        <f>IMAGE("https://mitra.stanford.edu/kundaje/oak/projects/neuro-variants/variant_position/credible/roussos_2024/variant_figures/roussos_2024.infant.GLU/rs10411290_count_position.png",4,220,900)</f>
        <v/>
      </c>
      <c r="T2013">
        <f>IMAGE("https://mitra.stanford.edu/kundaje/oak/projects/neuro-variants/variant_position/credible/roussos_2024/variant_figures/roussos_2024.infant.GLU/rs10411290_profile_position.png",4,220,900)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0.00263383712</v>
      </c>
      <c r="G2014" t="n">
        <v>0.7709941388433299</v>
      </c>
      <c r="H2014" t="n">
        <v>0.036340762581906</v>
      </c>
      <c r="I2014" t="n">
        <v>0.0299192609361265</v>
      </c>
      <c r="J2014" t="n">
        <v>0.0062655702286205</v>
      </c>
      <c r="K2014" t="n">
        <v>0.7274451417145824</v>
      </c>
      <c r="L2014" t="b">
        <v>0</v>
      </c>
      <c r="M2014" t="b">
        <v>0</v>
      </c>
      <c r="N2014" t="inlineStr">
        <is>
          <t>alt</t>
        </is>
      </c>
      <c r="O2014" t="n">
        <v>-100</v>
      </c>
      <c r="P2014" t="n">
        <v>0.00775</v>
      </c>
      <c r="Q2014" t="n">
        <v>0</v>
      </c>
      <c r="R2014" t="n">
        <v>0</v>
      </c>
      <c r="S2014">
        <f>IMAGE("https://mitra.stanford.edu/kundaje/oak/projects/neuro-variants/variant_position/credible/roussos_2024/variant_figures/roussos_2024.infant.GLU/rs3786795_count_position.png",4,220,900)</f>
        <v/>
      </c>
      <c r="T2014">
        <f>IMAGE("https://mitra.stanford.edu/kundaje/oak/projects/neuro-variants/variant_position/credible/roussos_2024/variant_figures/roussos_2024.infant.GLU/rs3786795_profile_position.png",4,220,900)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-0.01126965636</v>
      </c>
      <c r="G2015" t="n">
        <v>0.1788125960866935</v>
      </c>
      <c r="H2015" t="n">
        <v>0.0148452204210323</v>
      </c>
      <c r="I2015" t="n">
        <v>0.3932098817874125</v>
      </c>
      <c r="J2015" t="n">
        <v>0.1590511254657289</v>
      </c>
      <c r="K2015" t="n">
        <v>0.1381133923129824</v>
      </c>
      <c r="L2015" t="b">
        <v>0</v>
      </c>
      <c r="M2015" t="b">
        <v>0</v>
      </c>
      <c r="N2015" t="inlineStr">
        <is>
          <t>ref</t>
        </is>
      </c>
      <c r="O2015" t="n">
        <v>-80</v>
      </c>
      <c r="P2015" t="n">
        <v>0.00261</v>
      </c>
      <c r="Q2015" t="n">
        <v>-35</v>
      </c>
      <c r="R2015" t="n">
        <v>0.01294</v>
      </c>
      <c r="S2015">
        <f>IMAGE("https://mitra.stanford.edu/kundaje/oak/projects/neuro-variants/variant_position/credible/roussos_2024/variant_figures/roussos_2024.infant.GLU/rs4303654_count_position.png",4,220,900)</f>
        <v/>
      </c>
      <c r="T2015">
        <f>IMAGE("https://mitra.stanford.edu/kundaje/oak/projects/neuro-variants/variant_position/credible/roussos_2024/variant_figures/roussos_2024.infant.GLU/rs4303654_profile_position.png",4,220,900)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0.0503326104</v>
      </c>
      <c r="G2016" t="n">
        <v>0.1590260313091137</v>
      </c>
      <c r="H2016" t="n">
        <v>0.0144776037522967</v>
      </c>
      <c r="I2016" t="n">
        <v>0.3894211774589867</v>
      </c>
      <c r="J2016" t="n">
        <v>0.1241440507947705</v>
      </c>
      <c r="K2016" t="n">
        <v>0.1794767006393841</v>
      </c>
      <c r="L2016" t="b">
        <v>0</v>
      </c>
      <c r="M2016" t="b">
        <v>0</v>
      </c>
      <c r="N2016" t="inlineStr">
        <is>
          <t>alt</t>
        </is>
      </c>
      <c r="O2016" t="n">
        <v>-80</v>
      </c>
      <c r="P2016" t="n">
        <v>0.01098</v>
      </c>
      <c r="Q2016" t="n">
        <v>-75</v>
      </c>
      <c r="R2016" t="n">
        <v>0.04324</v>
      </c>
      <c r="S2016">
        <f>IMAGE("https://mitra.stanford.edu/kundaje/oak/projects/neuro-variants/variant_position/credible/roussos_2024/variant_figures/roussos_2024.infant.GLU/rs142436687_count_position.png",4,220,900)</f>
        <v/>
      </c>
      <c r="T2016">
        <f>IMAGE("https://mitra.stanford.edu/kundaje/oak/projects/neuro-variants/variant_position/credible/roussos_2024/variant_figures/roussos_2024.infant.GLU/rs142436687_profile_position.png",4,220,900)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-0.01677657884</v>
      </c>
      <c r="G2017" t="n">
        <v>0.5088398526013191</v>
      </c>
      <c r="H2017" t="n">
        <v>0.0108610556023375</v>
      </c>
      <c r="I2017" t="n">
        <v>0.6619823932783606</v>
      </c>
      <c r="J2017" t="n">
        <v>0.0719680768976388</v>
      </c>
      <c r="K2017" t="n">
        <v>0.2673334412760123</v>
      </c>
      <c r="L2017" t="b">
        <v>0</v>
      </c>
      <c r="M2017" t="b">
        <v>0</v>
      </c>
      <c r="N2017" t="inlineStr">
        <is>
          <t>ref</t>
        </is>
      </c>
      <c r="O2017" t="n">
        <v>-45</v>
      </c>
      <c r="P2017" t="n">
        <v>0.007860000000000001</v>
      </c>
      <c r="Q2017" t="n">
        <v>50</v>
      </c>
      <c r="R2017" t="n">
        <v>0.007324</v>
      </c>
      <c r="S2017">
        <f>IMAGE("https://mitra.stanford.edu/kundaje/oak/projects/neuro-variants/variant_position/credible/roussos_2024/variant_figures/roussos_2024.infant.GLU/rs79051716_count_position.png",4,220,900)</f>
        <v/>
      </c>
      <c r="T2017">
        <f>IMAGE("https://mitra.stanford.edu/kundaje/oak/projects/neuro-variants/variant_position/credible/roussos_2024/variant_figures/roussos_2024.infant.GLU/rs79051716_profile_position.png",4,220,900)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-0.261236308</v>
      </c>
      <c r="G2018" t="n">
        <v>0.004573782267035</v>
      </c>
      <c r="H2018" t="n">
        <v>0.049577609927799</v>
      </c>
      <c r="I2018" t="n">
        <v>0.0080400590412921</v>
      </c>
      <c r="J2018" t="n">
        <v>0.4499724420732379</v>
      </c>
      <c r="K2018" t="n">
        <v>0.0371448168012262</v>
      </c>
      <c r="L2018" t="b">
        <v>1</v>
      </c>
      <c r="M2018" t="b">
        <v>1</v>
      </c>
      <c r="N2018" t="inlineStr">
        <is>
          <t>ref</t>
        </is>
      </c>
      <c r="O2018" t="n">
        <v>-45</v>
      </c>
      <c r="P2018" t="n">
        <v>0.006348</v>
      </c>
      <c r="Q2018" t="n">
        <v>15</v>
      </c>
      <c r="R2018" t="n">
        <v>0.09470000000000001</v>
      </c>
      <c r="S2018">
        <f>IMAGE("https://mitra.stanford.edu/kundaje/oak/projects/neuro-variants/variant_position/credible/roussos_2024/variant_figures/roussos_2024.infant.GLU/rs116925323_count_position.png",4,220,900)</f>
        <v/>
      </c>
      <c r="T2018">
        <f>IMAGE("https://mitra.stanford.edu/kundaje/oak/projects/neuro-variants/variant_position/credible/roussos_2024/variant_figures/roussos_2024.infant.GLU/rs116925323_profile_position.png",4,220,900)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0.004107590124</v>
      </c>
      <c r="G2019" t="n">
        <v>0.7356612034021676</v>
      </c>
      <c r="H2019" t="n">
        <v>0.0487804880001453</v>
      </c>
      <c r="I2019" t="n">
        <v>0.0085545380645263</v>
      </c>
      <c r="J2019" t="n">
        <v>0.5315835887034547</v>
      </c>
      <c r="K2019" t="n">
        <v>0.0271454532806881</v>
      </c>
      <c r="L2019" t="b">
        <v>1</v>
      </c>
      <c r="M2019" t="b">
        <v>1</v>
      </c>
      <c r="N2019" t="inlineStr">
        <is>
          <t>alt</t>
        </is>
      </c>
      <c r="O2019" t="n">
        <v>90</v>
      </c>
      <c r="P2019" t="n">
        <v>0.01807</v>
      </c>
      <c r="Q2019" t="n">
        <v>100</v>
      </c>
      <c r="R2019" t="n">
        <v>0.1852</v>
      </c>
      <c r="S2019">
        <f>IMAGE("https://mitra.stanford.edu/kundaje/oak/projects/neuro-variants/variant_position/credible/roussos_2024/variant_figures/roussos_2024.infant.GLU/rs1345756_count_position.png",4,220,900)</f>
        <v/>
      </c>
      <c r="T2019">
        <f>IMAGE("https://mitra.stanford.edu/kundaje/oak/projects/neuro-variants/variant_position/credible/roussos_2024/variant_figures/roussos_2024.infant.GLU/rs1345756_profile_position.png",4,220,900)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-0.0548572893999999</v>
      </c>
      <c r="G2020" t="n">
        <v>0.1502166398793873</v>
      </c>
      <c r="H2020" t="n">
        <v>0.008865871152801101</v>
      </c>
      <c r="I2020" t="n">
        <v>0.7927633582469473</v>
      </c>
      <c r="J2020" t="n">
        <v>0.3880850547851584</v>
      </c>
      <c r="K2020" t="n">
        <v>0.0473199738965</v>
      </c>
      <c r="L2020" t="b">
        <v>0</v>
      </c>
      <c r="M2020" t="b">
        <v>0</v>
      </c>
      <c r="N2020" t="inlineStr">
        <is>
          <t>ref</t>
        </is>
      </c>
      <c r="O2020" t="n">
        <v>-90</v>
      </c>
      <c r="P2020" t="n">
        <v>0.01185</v>
      </c>
      <c r="Q2020" t="n">
        <v>-30</v>
      </c>
      <c r="R2020" t="n">
        <v>0.04248</v>
      </c>
      <c r="S2020">
        <f>IMAGE("https://mitra.stanford.edu/kundaje/oak/projects/neuro-variants/variant_position/credible/roussos_2024/variant_figures/roussos_2024.infant.GLU/rs77157349_count_position.png",4,220,900)</f>
        <v/>
      </c>
      <c r="T2020">
        <f>IMAGE("https://mitra.stanford.edu/kundaje/oak/projects/neuro-variants/variant_position/credible/roussos_2024/variant_figures/roussos_2024.infant.GLU/rs77157349_profile_position.png",4,220,900)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-0.219895576</v>
      </c>
      <c r="G2021" t="n">
        <v>0.0082716193473488</v>
      </c>
      <c r="H2021" t="n">
        <v>0.0575932268647753</v>
      </c>
      <c r="I2021" t="n">
        <v>0.0038276379605901</v>
      </c>
      <c r="J2021" t="n">
        <v>0.5798694856588549</v>
      </c>
      <c r="K2021" t="n">
        <v>0.0231998544687445</v>
      </c>
      <c r="L2021" t="b">
        <v>1</v>
      </c>
      <c r="M2021" t="b">
        <v>1</v>
      </c>
      <c r="N2021" t="inlineStr">
        <is>
          <t>ref</t>
        </is>
      </c>
      <c r="O2021" t="n">
        <v>-5</v>
      </c>
      <c r="P2021" t="n">
        <v>0.003296</v>
      </c>
      <c r="Q2021" t="n">
        <v>50</v>
      </c>
      <c r="R2021" t="n">
        <v>0.0664</v>
      </c>
      <c r="S2021">
        <f>IMAGE("https://mitra.stanford.edu/kundaje/oak/projects/neuro-variants/variant_position/credible/roussos_2024/variant_figures/roussos_2024.infant.GLU/rs190662727_count_position.png",4,220,900)</f>
        <v/>
      </c>
      <c r="T2021">
        <f>IMAGE("https://mitra.stanford.edu/kundaje/oak/projects/neuro-variants/variant_position/credible/roussos_2024/variant_figures/roussos_2024.infant.GLU/rs190662727_profile_position.png",4,220,900)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-0.0244441186</v>
      </c>
      <c r="G2022" t="n">
        <v>0.382954647317404</v>
      </c>
      <c r="H2022" t="n">
        <v>0.0134569346855818</v>
      </c>
      <c r="I2022" t="n">
        <v>0.4511308588782734</v>
      </c>
      <c r="J2022" t="n">
        <v>0.4080403007120968</v>
      </c>
      <c r="K2022" t="n">
        <v>0.0434106348247018</v>
      </c>
      <c r="L2022" t="b">
        <v>0</v>
      </c>
      <c r="M2022" t="b">
        <v>0</v>
      </c>
      <c r="N2022" t="inlineStr">
        <is>
          <t>ref</t>
        </is>
      </c>
      <c r="O2022" t="n">
        <v>-5</v>
      </c>
      <c r="P2022" t="n">
        <v>0.0001221</v>
      </c>
      <c r="Q2022" t="n">
        <v>95</v>
      </c>
      <c r="R2022" t="n">
        <v>0.0969</v>
      </c>
      <c r="S2022">
        <f>IMAGE("https://mitra.stanford.edu/kundaje/oak/projects/neuro-variants/variant_position/credible/roussos_2024/variant_figures/roussos_2024.infant.GLU/rs35208092_count_position.png",4,220,900)</f>
        <v/>
      </c>
      <c r="T2022">
        <f>IMAGE("https://mitra.stanford.edu/kundaje/oak/projects/neuro-variants/variant_position/credible/roussos_2024/variant_figures/roussos_2024.infant.GLU/rs35208092_profile_position.png",4,220,900)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0.01197613188</v>
      </c>
      <c r="G2023" t="n">
        <v>0.583521472815225</v>
      </c>
      <c r="H2023" t="n">
        <v>0.0401339101570278</v>
      </c>
      <c r="I2023" t="n">
        <v>0.0199104926782638</v>
      </c>
      <c r="J2023" t="n">
        <v>0.1078176326638594</v>
      </c>
      <c r="K2023" t="n">
        <v>0.2047001480683889</v>
      </c>
      <c r="L2023" t="b">
        <v>1</v>
      </c>
      <c r="M2023" t="b">
        <v>0</v>
      </c>
      <c r="N2023" t="inlineStr">
        <is>
          <t>alt</t>
        </is>
      </c>
      <c r="O2023" t="n">
        <v>50</v>
      </c>
      <c r="P2023" t="n">
        <v>0.00464</v>
      </c>
      <c r="Q2023" t="n">
        <v>100</v>
      </c>
      <c r="R2023" t="n">
        <v>0.09959999999999999</v>
      </c>
      <c r="S2023">
        <f>IMAGE("https://mitra.stanford.edu/kundaje/oak/projects/neuro-variants/variant_position/credible/roussos_2024/variant_figures/roussos_2024.infant.GLU/rs7254613_count_position.png",4,220,900)</f>
        <v/>
      </c>
      <c r="T2023">
        <f>IMAGE("https://mitra.stanford.edu/kundaje/oak/projects/neuro-variants/variant_position/credible/roussos_2024/variant_figures/roussos_2024.infant.GLU/rs7254613_profile_position.png",4,220,900)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0.0260129488</v>
      </c>
      <c r="G2024" t="n">
        <v>0.3562115013138416</v>
      </c>
      <c r="H2024" t="n">
        <v>0.0132513110998688</v>
      </c>
      <c r="I2024" t="n">
        <v>0.4646919260679929</v>
      </c>
      <c r="J2024" t="n">
        <v>0.2038184263321501</v>
      </c>
      <c r="K2024" t="n">
        <v>0.1103593343203808</v>
      </c>
      <c r="L2024" t="b">
        <v>0</v>
      </c>
      <c r="M2024" t="b">
        <v>0</v>
      </c>
      <c r="N2024" t="inlineStr">
        <is>
          <t>alt</t>
        </is>
      </c>
      <c r="O2024" t="n">
        <v>-100</v>
      </c>
      <c r="P2024" t="n">
        <v>0.01462</v>
      </c>
      <c r="Q2024" t="n">
        <v>90</v>
      </c>
      <c r="R2024" t="n">
        <v>0.127</v>
      </c>
      <c r="S2024">
        <f>IMAGE("https://mitra.stanford.edu/kundaje/oak/projects/neuro-variants/variant_position/credible/roussos_2024/variant_figures/roussos_2024.infant.GLU/rs148767361_count_position.png",4,220,900)</f>
        <v/>
      </c>
      <c r="T2024">
        <f>IMAGE("https://mitra.stanford.edu/kundaje/oak/projects/neuro-variants/variant_position/credible/roussos_2024/variant_figures/roussos_2024.infant.GLU/rs148767361_profile_position.png",4,220,900)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0.0602702298</v>
      </c>
      <c r="G2025" t="n">
        <v>0.1223578291430545</v>
      </c>
      <c r="H2025" t="n">
        <v>0.0162628816078712</v>
      </c>
      <c r="I2025" t="n">
        <v>0.2999380218152602</v>
      </c>
      <c r="J2025" t="n">
        <v>0.2439218236733613</v>
      </c>
      <c r="K2025" t="n">
        <v>0.0870940099729927</v>
      </c>
      <c r="L2025" t="b">
        <v>0</v>
      </c>
      <c r="M2025" t="b">
        <v>0</v>
      </c>
      <c r="N2025" t="inlineStr">
        <is>
          <t>alt</t>
        </is>
      </c>
      <c r="O2025" t="n">
        <v>10</v>
      </c>
      <c r="P2025" t="n">
        <v>0.002121</v>
      </c>
      <c r="Q2025" t="n">
        <v>-45</v>
      </c>
      <c r="R2025" t="n">
        <v>0.0742</v>
      </c>
      <c r="S2025">
        <f>IMAGE("https://mitra.stanford.edu/kundaje/oak/projects/neuro-variants/variant_position/credible/roussos_2024/variant_figures/roussos_2024.infant.GLU/rs6510386_count_position.png",4,220,900)</f>
        <v/>
      </c>
      <c r="T2025">
        <f>IMAGE("https://mitra.stanford.edu/kundaje/oak/projects/neuro-variants/variant_position/credible/roussos_2024/variant_figures/roussos_2024.infant.GLU/rs6510386_profile_position.png",4,220,900)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-0.0847861722</v>
      </c>
      <c r="G2026" t="n">
        <v>0.0689863386596201</v>
      </c>
      <c r="H2026" t="n">
        <v>0.0235184527176369</v>
      </c>
      <c r="I2026" t="n">
        <v>0.1195176811756064</v>
      </c>
      <c r="J2026" t="n">
        <v>0.1590268744901783</v>
      </c>
      <c r="K2026" t="n">
        <v>0.1381858249609035</v>
      </c>
      <c r="L2026" t="b">
        <v>0</v>
      </c>
      <c r="M2026" t="b">
        <v>0</v>
      </c>
      <c r="N2026" t="inlineStr">
        <is>
          <t>ref</t>
        </is>
      </c>
      <c r="O2026" t="n">
        <v>80</v>
      </c>
      <c r="P2026" t="n">
        <v>0.002502</v>
      </c>
      <c r="Q2026" t="n">
        <v>5</v>
      </c>
      <c r="R2026" t="n">
        <v>0.001221</v>
      </c>
      <c r="S2026">
        <f>IMAGE("https://mitra.stanford.edu/kundaje/oak/projects/neuro-variants/variant_position/credible/roussos_2024/variant_figures/roussos_2024.infant.GLU/rs76144939_count_position.png",4,220,900)</f>
        <v/>
      </c>
      <c r="T2026">
        <f>IMAGE("https://mitra.stanford.edu/kundaje/oak/projects/neuro-variants/variant_position/credible/roussos_2024/variant_figures/roussos_2024.infant.GLU/rs76144939_profile_position.png",4,220,900)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-0.109408697</v>
      </c>
      <c r="G2027" t="n">
        <v>0.0440302960631515</v>
      </c>
      <c r="H2027" t="n">
        <v>0.0160621252654064</v>
      </c>
      <c r="I2027" t="n">
        <v>0.3210900631571826</v>
      </c>
      <c r="J2027" t="n">
        <v>0.0548369673052756</v>
      </c>
      <c r="K2027" t="n">
        <v>0.3322328484711951</v>
      </c>
      <c r="L2027" t="b">
        <v>0</v>
      </c>
      <c r="M2027" t="b">
        <v>0</v>
      </c>
      <c r="N2027" t="inlineStr">
        <is>
          <t>ref</t>
        </is>
      </c>
      <c r="O2027" t="n">
        <v>-30</v>
      </c>
      <c r="P2027" t="n">
        <v>0.0517</v>
      </c>
      <c r="Q2027" t="n">
        <v>75</v>
      </c>
      <c r="R2027" t="n">
        <v>0.11224</v>
      </c>
      <c r="S2027">
        <f>IMAGE("https://mitra.stanford.edu/kundaje/oak/projects/neuro-variants/variant_position/credible/roussos_2024/variant_figures/roussos_2024.infant.GLU/rs10423840_count_position.png",4,220,900)</f>
        <v/>
      </c>
      <c r="T2027">
        <f>IMAGE("https://mitra.stanford.edu/kundaje/oak/projects/neuro-variants/variant_position/credible/roussos_2024/variant_figures/roussos_2024.infant.GLU/rs10423840_profile_position.png",4,220,900)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0.0072381634</v>
      </c>
      <c r="G2028" t="n">
        <v>0.6734781088444346</v>
      </c>
      <c r="H2028" t="n">
        <v>0.0373117769241145</v>
      </c>
      <c r="I2028" t="n">
        <v>0.0268841420822544</v>
      </c>
      <c r="J2028" t="n">
        <v>0.0260223990828721</v>
      </c>
      <c r="K2028" t="n">
        <v>0.4846828821960741</v>
      </c>
      <c r="L2028" t="b">
        <v>0</v>
      </c>
      <c r="M2028" t="b">
        <v>0</v>
      </c>
      <c r="N2028" t="inlineStr">
        <is>
          <t>alt</t>
        </is>
      </c>
      <c r="O2028" t="n">
        <v>90</v>
      </c>
      <c r="P2028" t="n">
        <v>0.05835</v>
      </c>
      <c r="Q2028" t="n">
        <v>90</v>
      </c>
      <c r="R2028" t="n">
        <v>0.04898</v>
      </c>
      <c r="S2028">
        <f>IMAGE("https://mitra.stanford.edu/kundaje/oak/projects/neuro-variants/variant_position/credible/roussos_2024/variant_figures/roussos_2024.infant.GLU/rs10404501_count_position.png",4,220,900)</f>
        <v/>
      </c>
      <c r="T2028">
        <f>IMAGE("https://mitra.stanford.edu/kundaje/oak/projects/neuro-variants/variant_position/credible/roussos_2024/variant_figures/roussos_2024.infant.GLU/rs10404501_profile_position.png",4,220,900)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-0.05554147764</v>
      </c>
      <c r="G2029" t="n">
        <v>0.1743223529261069</v>
      </c>
      <c r="H2029" t="n">
        <v>0.0098309832598124</v>
      </c>
      <c r="I2029" t="n">
        <v>0.7478833594945157</v>
      </c>
      <c r="J2029" t="n">
        <v>0.1764049031063294</v>
      </c>
      <c r="K2029" t="n">
        <v>0.1263289529063606</v>
      </c>
      <c r="L2029" t="b">
        <v>0</v>
      </c>
      <c r="M2029" t="b">
        <v>0</v>
      </c>
      <c r="N2029" t="inlineStr">
        <is>
          <t>ref</t>
        </is>
      </c>
      <c r="O2029" t="n">
        <v>-100</v>
      </c>
      <c r="P2029" t="n">
        <v>0.04138</v>
      </c>
      <c r="Q2029" t="n">
        <v>65</v>
      </c>
      <c r="R2029" t="n">
        <v>0.04254</v>
      </c>
      <c r="S2029">
        <f>IMAGE("https://mitra.stanford.edu/kundaje/oak/projects/neuro-variants/variant_position/credible/roussos_2024/variant_figures/roussos_2024.infant.GLU/rs12461525_count_position.png",4,220,900)</f>
        <v/>
      </c>
      <c r="T2029">
        <f>IMAGE("https://mitra.stanford.edu/kundaje/oak/projects/neuro-variants/variant_position/credible/roussos_2024/variant_figures/roussos_2024.infant.GLU/rs12461525_profile_position.png",4,220,900)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-0.0088871029399999</v>
      </c>
      <c r="G2030" t="n">
        <v>0.6906852174633977</v>
      </c>
      <c r="H2030" t="n">
        <v>0.0185014922724699</v>
      </c>
      <c r="I2030" t="n">
        <v>0.2288871646739833</v>
      </c>
      <c r="J2030" t="n">
        <v>0.0760323199365065</v>
      </c>
      <c r="K2030" t="n">
        <v>0.2571581960155066</v>
      </c>
      <c r="L2030" t="b">
        <v>0</v>
      </c>
      <c r="M2030" t="b">
        <v>0</v>
      </c>
      <c r="N2030" t="inlineStr">
        <is>
          <t>ref</t>
        </is>
      </c>
      <c r="O2030" t="n">
        <v>-20</v>
      </c>
      <c r="P2030" t="n">
        <v>0.003458</v>
      </c>
      <c r="Q2030" t="n">
        <v>100</v>
      </c>
      <c r="R2030" t="n">
        <v>0.1995</v>
      </c>
      <c r="S2030">
        <f>IMAGE("https://mitra.stanford.edu/kundaje/oak/projects/neuro-variants/variant_position/credible/roussos_2024/variant_figures/roussos_2024.infant.GLU/rs1476503_count_position.png",4,220,900)</f>
        <v/>
      </c>
      <c r="T2030">
        <f>IMAGE("https://mitra.stanford.edu/kundaje/oak/projects/neuro-variants/variant_position/credible/roussos_2024/variant_figures/roussos_2024.infant.GLU/rs1476503_profile_position.png",4,220,900)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0.00377947924</v>
      </c>
      <c r="G2031" t="n">
        <v>0.7405312019098464</v>
      </c>
      <c r="H2031" t="n">
        <v>0.0142478324182314</v>
      </c>
      <c r="I2031" t="n">
        <v>0.4031175134444498</v>
      </c>
      <c r="J2031" t="n">
        <v>0.078283251394431</v>
      </c>
      <c r="K2031" t="n">
        <v>0.2515343082736062</v>
      </c>
      <c r="L2031" t="b">
        <v>0</v>
      </c>
      <c r="M2031" t="b">
        <v>0</v>
      </c>
      <c r="N2031" t="inlineStr">
        <is>
          <t>alt</t>
        </is>
      </c>
      <c r="O2031" t="n">
        <v>-25</v>
      </c>
      <c r="P2031" t="n">
        <v>0.002594</v>
      </c>
      <c r="Q2031" t="n">
        <v>100</v>
      </c>
      <c r="R2031" t="n">
        <v>0.1936</v>
      </c>
      <c r="S2031">
        <f>IMAGE("https://mitra.stanford.edu/kundaje/oak/projects/neuro-variants/variant_position/credible/roussos_2024/variant_figures/roussos_2024.infant.GLU/rs1476504_count_position.png",4,220,900)</f>
        <v/>
      </c>
      <c r="T2031">
        <f>IMAGE("https://mitra.stanford.edu/kundaje/oak/projects/neuro-variants/variant_position/credible/roussos_2024/variant_figures/roussos_2024.infant.GLU/rs1476504_profile_position.png",4,220,900)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-0.0454712887999999</v>
      </c>
      <c r="G2032" t="n">
        <v>0.2130596274313632</v>
      </c>
      <c r="H2032" t="n">
        <v>0.0134240240568492</v>
      </c>
      <c r="I2032" t="n">
        <v>0.4663297738858652</v>
      </c>
      <c r="J2032" t="n">
        <v>0.1144249211843294</v>
      </c>
      <c r="K2032" t="n">
        <v>0.2016862987891984</v>
      </c>
      <c r="L2032" t="b">
        <v>0</v>
      </c>
      <c r="M2032" t="b">
        <v>0</v>
      </c>
      <c r="N2032" t="inlineStr">
        <is>
          <t>ref</t>
        </is>
      </c>
      <c r="O2032" t="n">
        <v>5</v>
      </c>
      <c r="P2032" t="n">
        <v>0.004395</v>
      </c>
      <c r="Q2032" t="n">
        <v>5</v>
      </c>
      <c r="R2032" t="n">
        <v>0.002686</v>
      </c>
      <c r="S2032">
        <f>IMAGE("https://mitra.stanford.edu/kundaje/oak/projects/neuro-variants/variant_position/credible/roussos_2024/variant_figures/roussos_2024.infant.GLU/rs7249719_count_position.png",4,220,900)</f>
        <v/>
      </c>
      <c r="T2032">
        <f>IMAGE("https://mitra.stanford.edu/kundaje/oak/projects/neuro-variants/variant_position/credible/roussos_2024/variant_figures/roussos_2024.infant.GLU/rs7249719_profile_position.png",4,220,900)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-0.100889864</v>
      </c>
      <c r="G2033" t="n">
        <v>0.0557889179804691</v>
      </c>
      <c r="H2033" t="n">
        <v>0.0128092200616882</v>
      </c>
      <c r="I2033" t="n">
        <v>0.4954455155260306</v>
      </c>
      <c r="J2033" t="n">
        <v>0.1221896426288057</v>
      </c>
      <c r="K2033" t="n">
        <v>0.1920836266570453</v>
      </c>
      <c r="L2033" t="b">
        <v>0</v>
      </c>
      <c r="M2033" t="b">
        <v>0</v>
      </c>
      <c r="N2033" t="inlineStr">
        <is>
          <t>ref</t>
        </is>
      </c>
      <c r="O2033" t="n">
        <v>40</v>
      </c>
      <c r="P2033" t="n">
        <v>0.03583</v>
      </c>
      <c r="Q2033" t="n">
        <v>15</v>
      </c>
      <c r="R2033" t="n">
        <v>0.003906</v>
      </c>
      <c r="S2033">
        <f>IMAGE("https://mitra.stanford.edu/kundaje/oak/projects/neuro-variants/variant_position/credible/roussos_2024/variant_figures/roussos_2024.infant.GLU/rs2287897_count_position.png",4,220,900)</f>
        <v/>
      </c>
      <c r="T2033">
        <f>IMAGE("https://mitra.stanford.edu/kundaje/oak/projects/neuro-variants/variant_position/credible/roussos_2024/variant_figures/roussos_2024.infant.GLU/rs2287897_profile_position.png",4,220,900)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-0.0302956666</v>
      </c>
      <c r="G2034" t="n">
        <v>0.3216115140231531</v>
      </c>
      <c r="H2034" t="n">
        <v>0.0319911343325754</v>
      </c>
      <c r="I2034" t="n">
        <v>0.0464879541587197</v>
      </c>
      <c r="J2034" t="n">
        <v>0.100953504265967</v>
      </c>
      <c r="K2034" t="n">
        <v>0.2168933288747196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0.1029</v>
      </c>
      <c r="Q2034" t="n">
        <v>95</v>
      </c>
      <c r="R2034" t="n">
        <v>0.2505</v>
      </c>
      <c r="S2034">
        <f>IMAGE("https://mitra.stanford.edu/kundaje/oak/projects/neuro-variants/variant_position/credible/roussos_2024/variant_figures/roussos_2024.infant.GLU/rs2432051_count_position.png",4,220,900)</f>
        <v/>
      </c>
      <c r="T2034">
        <f>IMAGE("https://mitra.stanford.edu/kundaje/oak/projects/neuro-variants/variant_position/credible/roussos_2024/variant_figures/roussos_2024.infant.GLU/rs2432051_profile_position.png",4,220,900)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-0.0163575386999999</v>
      </c>
      <c r="G2035" t="n">
        <v>0.4446584318372424</v>
      </c>
      <c r="H2035" t="n">
        <v>0.0120453574097778</v>
      </c>
      <c r="I2035" t="n">
        <v>0.5577902054022663</v>
      </c>
      <c r="J2035" t="n">
        <v>0.08638417954540439</v>
      </c>
      <c r="K2035" t="n">
        <v>0.254502619805629</v>
      </c>
      <c r="L2035" t="b">
        <v>0</v>
      </c>
      <c r="M2035" t="b">
        <v>0</v>
      </c>
      <c r="N2035" t="inlineStr">
        <is>
          <t>ref</t>
        </is>
      </c>
      <c r="O2035" t="n">
        <v>-100</v>
      </c>
      <c r="P2035" t="n">
        <v>0.02078</v>
      </c>
      <c r="Q2035" t="n">
        <v>-100</v>
      </c>
      <c r="R2035" t="n">
        <v>0.1271</v>
      </c>
      <c r="S2035">
        <f>IMAGE("https://mitra.stanford.edu/kundaje/oak/projects/neuro-variants/variant_position/credible/roussos_2024/variant_figures/roussos_2024.infant.GLU/rs2972537_count_position.png",4,220,900)</f>
        <v/>
      </c>
      <c r="T2035">
        <f>IMAGE("https://mitra.stanford.edu/kundaje/oak/projects/neuro-variants/variant_position/credible/roussos_2024/variant_figures/roussos_2024.infant.GLU/rs2972537_profile_position.png",4,220,900)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-0.0429882934</v>
      </c>
      <c r="G2036" t="n">
        <v>0.2079978529411507</v>
      </c>
      <c r="H2036" t="n">
        <v>0.0178369941985507</v>
      </c>
      <c r="I2036" t="n">
        <v>0.2484484409237754</v>
      </c>
      <c r="J2036" t="n">
        <v>0.2955697876937321</v>
      </c>
      <c r="K2036" t="n">
        <v>0.0692938162404042</v>
      </c>
      <c r="L2036" t="b">
        <v>0</v>
      </c>
      <c r="M2036" t="b">
        <v>0</v>
      </c>
      <c r="N2036" t="inlineStr">
        <is>
          <t>ref</t>
        </is>
      </c>
      <c r="O2036" t="n">
        <v>90</v>
      </c>
      <c r="P2036" t="n">
        <v>0.001413</v>
      </c>
      <c r="Q2036" t="n">
        <v>10</v>
      </c>
      <c r="R2036" t="n">
        <v>0.02002</v>
      </c>
      <c r="S2036">
        <f>IMAGE("https://mitra.stanford.edu/kundaje/oak/projects/neuro-variants/variant_position/credible/roussos_2024/variant_figures/roussos_2024.infant.GLU/rs149760493_count_position.png",4,220,900)</f>
        <v/>
      </c>
      <c r="T2036">
        <f>IMAGE("https://mitra.stanford.edu/kundaje/oak/projects/neuro-variants/variant_position/credible/roussos_2024/variant_figures/roussos_2024.infant.GLU/rs149760493_profile_position.png",4,220,900)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-0.1599593799999999</v>
      </c>
      <c r="G2037" t="n">
        <v>0.0179415107270616</v>
      </c>
      <c r="H2037" t="n">
        <v>0.0208208273660316</v>
      </c>
      <c r="I2037" t="n">
        <v>0.1695801210076288</v>
      </c>
      <c r="J2037" t="n">
        <v>0.2468209175687294</v>
      </c>
      <c r="K2037" t="n">
        <v>0.0866136175145151</v>
      </c>
      <c r="L2037" t="b">
        <v>1</v>
      </c>
      <c r="M2037" t="b">
        <v>0</v>
      </c>
      <c r="N2037" t="inlineStr">
        <is>
          <t>ref</t>
        </is>
      </c>
      <c r="O2037" t="n">
        <v>-100</v>
      </c>
      <c r="P2037" t="n">
        <v>0.01514</v>
      </c>
      <c r="Q2037" t="n">
        <v>-30</v>
      </c>
      <c r="R2037" t="n">
        <v>0.06909999999999999</v>
      </c>
      <c r="S2037">
        <f>IMAGE("https://mitra.stanford.edu/kundaje/oak/projects/neuro-variants/variant_position/credible/roussos_2024/variant_figures/roussos_2024.infant.GLU/rs140163185_count_position.png",4,220,900)</f>
        <v/>
      </c>
      <c r="T2037">
        <f>IMAGE("https://mitra.stanford.edu/kundaje/oak/projects/neuro-variants/variant_position/credible/roussos_2024/variant_figures/roussos_2024.infant.GLU/rs140163185_profile_position.png",4,220,900)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-0.0068504293179999</v>
      </c>
      <c r="G2038" t="n">
        <v>0.7302155864212483</v>
      </c>
      <c r="H2038" t="n">
        <v>0.0105974705245598</v>
      </c>
      <c r="I2038" t="n">
        <v>0.6874980053438124</v>
      </c>
      <c r="J2038" t="n">
        <v>0.0128441985052579</v>
      </c>
      <c r="K2038" t="n">
        <v>0.6156378904809856</v>
      </c>
      <c r="L2038" t="b">
        <v>0</v>
      </c>
      <c r="M2038" t="b">
        <v>0</v>
      </c>
      <c r="N2038" t="inlineStr">
        <is>
          <t>ref</t>
        </is>
      </c>
      <c r="O2038" t="n">
        <v>70</v>
      </c>
      <c r="P2038" t="n">
        <v>0.01499</v>
      </c>
      <c r="Q2038" t="n">
        <v>70</v>
      </c>
      <c r="R2038" t="n">
        <v>0.05603</v>
      </c>
      <c r="S2038">
        <f>IMAGE("https://mitra.stanford.edu/kundaje/oak/projects/neuro-variants/variant_position/credible/roussos_2024/variant_figures/roussos_2024.infant.GLU/rs150020955_count_position.png",4,220,900)</f>
        <v/>
      </c>
      <c r="T2038">
        <f>IMAGE("https://mitra.stanford.edu/kundaje/oak/projects/neuro-variants/variant_position/credible/roussos_2024/variant_figures/roussos_2024.infant.GLU/rs150020955_profile_position.png",4,220,900)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0.1075551739999999</v>
      </c>
      <c r="G2039" t="n">
        <v>0.0467691986022128</v>
      </c>
      <c r="H2039" t="n">
        <v>0.0270326110251915</v>
      </c>
      <c r="I2039" t="n">
        <v>0.08087792860584091</v>
      </c>
      <c r="J2039" t="n">
        <v>0.2666846711788179</v>
      </c>
      <c r="K2039" t="n">
        <v>0.0777987525719253</v>
      </c>
      <c r="L2039" t="b">
        <v>0</v>
      </c>
      <c r="M2039" t="b">
        <v>0</v>
      </c>
      <c r="N2039" t="inlineStr">
        <is>
          <t>alt</t>
        </is>
      </c>
      <c r="O2039" t="n">
        <v>-35</v>
      </c>
      <c r="P2039" t="n">
        <v>0.00575</v>
      </c>
      <c r="Q2039" t="n">
        <v>-15</v>
      </c>
      <c r="R2039" t="n">
        <v>0.01978</v>
      </c>
      <c r="S2039">
        <f>IMAGE("https://mitra.stanford.edu/kundaje/oak/projects/neuro-variants/variant_position/credible/roussos_2024/variant_figures/roussos_2024.infant.GLU/rs148362166_count_position.png",4,220,900)</f>
        <v/>
      </c>
      <c r="T2039">
        <f>IMAGE("https://mitra.stanford.edu/kundaje/oak/projects/neuro-variants/variant_position/credible/roussos_2024/variant_figures/roussos_2024.infant.GLU/rs148362166_profile_position.png",4,220,900)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-0.0419377788</v>
      </c>
      <c r="G2040" t="n">
        <v>0.2194475064176978</v>
      </c>
      <c r="H2040" t="n">
        <v>0.0196870494355889</v>
      </c>
      <c r="I2040" t="n">
        <v>0.1922182728180978</v>
      </c>
      <c r="J2040" t="n">
        <v>0.09326484269935401</v>
      </c>
      <c r="K2040" t="n">
        <v>0.229871922739748</v>
      </c>
      <c r="L2040" t="b">
        <v>0</v>
      </c>
      <c r="M2040" t="b">
        <v>0</v>
      </c>
      <c r="N2040" t="inlineStr">
        <is>
          <t>ref</t>
        </is>
      </c>
      <c r="O2040" t="n">
        <v>-30</v>
      </c>
      <c r="P2040" t="n">
        <v>0.00431</v>
      </c>
      <c r="Q2040" t="n">
        <v>-75</v>
      </c>
      <c r="R2040" t="n">
        <v>0.04385</v>
      </c>
      <c r="S2040">
        <f>IMAGE("https://mitra.stanford.edu/kundaje/oak/projects/neuro-variants/variant_position/credible/roussos_2024/variant_figures/roussos_2024.infant.GLU/rs12983497_count_position.png",4,220,900)</f>
        <v/>
      </c>
      <c r="T2040">
        <f>IMAGE("https://mitra.stanford.edu/kundaje/oak/projects/neuro-variants/variant_position/credible/roussos_2024/variant_figures/roussos_2024.infant.GLU/rs12983497_profile_position.png",4,220,900)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-0.08477262399999989</v>
      </c>
      <c r="G2041" t="n">
        <v>0.0690108431318821</v>
      </c>
      <c r="H2041" t="n">
        <v>0.0234345036035368</v>
      </c>
      <c r="I2041" t="n">
        <v>0.1227234701867102</v>
      </c>
      <c r="J2041" t="n">
        <v>0.5317720849225072</v>
      </c>
      <c r="K2041" t="n">
        <v>0.0274336098851271</v>
      </c>
      <c r="L2041" t="b">
        <v>0</v>
      </c>
      <c r="M2041" t="b">
        <v>0</v>
      </c>
      <c r="N2041" t="inlineStr">
        <is>
          <t>ref</t>
        </is>
      </c>
      <c r="O2041" t="n">
        <v>-100</v>
      </c>
      <c r="P2041" t="n">
        <v>0.04803</v>
      </c>
      <c r="Q2041" t="n">
        <v>-35</v>
      </c>
      <c r="R2041" t="n">
        <v>0.1287</v>
      </c>
      <c r="S2041">
        <f>IMAGE("https://mitra.stanford.edu/kundaje/oak/projects/neuro-variants/variant_position/credible/roussos_2024/variant_figures/roussos_2024.infant.GLU/rs3810356_count_position.png",4,220,900)</f>
        <v/>
      </c>
      <c r="T2041">
        <f>IMAGE("https://mitra.stanford.edu/kundaje/oak/projects/neuro-variants/variant_position/credible/roussos_2024/variant_figures/roussos_2024.infant.GLU/rs3810356_profile_position.png",4,220,900)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-0.00568393594</v>
      </c>
      <c r="G2042" t="n">
        <v>0.7708781436919382</v>
      </c>
      <c r="H2042" t="n">
        <v>0.0247915818765853</v>
      </c>
      <c r="I2042" t="n">
        <v>0.1051045925069224</v>
      </c>
      <c r="J2042" t="n">
        <v>0.1982252695165237</v>
      </c>
      <c r="K2042" t="n">
        <v>0.1123839171585097</v>
      </c>
      <c r="L2042" t="b">
        <v>0</v>
      </c>
      <c r="M2042" t="b">
        <v>0</v>
      </c>
      <c r="N2042" t="inlineStr">
        <is>
          <t>ref</t>
        </is>
      </c>
      <c r="O2042" t="n">
        <v>-65</v>
      </c>
      <c r="P2042" t="n">
        <v>0.01776</v>
      </c>
      <c r="Q2042" t="n">
        <v>-35</v>
      </c>
      <c r="R2042" t="n">
        <v>0.04626</v>
      </c>
      <c r="S2042">
        <f>IMAGE("https://mitra.stanford.edu/kundaje/oak/projects/neuro-variants/variant_position/credible/roussos_2024/variant_figures/roussos_2024.infant.GLU/rs569675332_count_position.png",4,220,900)</f>
        <v/>
      </c>
      <c r="T2042">
        <f>IMAGE("https://mitra.stanford.edu/kundaje/oak/projects/neuro-variants/variant_position/credible/roussos_2024/variant_figures/roussos_2024.infant.GLU/rs569675332_profile_position.png",4,220,900)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-0.0083445784</v>
      </c>
      <c r="G2043" t="n">
        <v>0.6910135128700902</v>
      </c>
      <c r="H2043" t="n">
        <v>0.0277107319787178</v>
      </c>
      <c r="I2043" t="n">
        <v>0.0761363615916484</v>
      </c>
      <c r="J2043" t="n">
        <v>0.2093774113185916</v>
      </c>
      <c r="K2043" t="n">
        <v>0.1058314801663915</v>
      </c>
      <c r="L2043" t="b">
        <v>0</v>
      </c>
      <c r="M2043" t="b">
        <v>0</v>
      </c>
      <c r="N2043" t="inlineStr">
        <is>
          <t>ref</t>
        </is>
      </c>
      <c r="O2043" t="n">
        <v>-100</v>
      </c>
      <c r="P2043" t="n">
        <v>0.045</v>
      </c>
      <c r="Q2043" t="n">
        <v>-75</v>
      </c>
      <c r="R2043" t="n">
        <v>0.05377</v>
      </c>
      <c r="S2043">
        <f>IMAGE("https://mitra.stanford.edu/kundaje/oak/projects/neuro-variants/variant_position/credible/roussos_2024/variant_figures/roussos_2024.infant.GLU/rs182522360_count_position.png",4,220,900)</f>
        <v/>
      </c>
      <c r="T2043">
        <f>IMAGE("https://mitra.stanford.edu/kundaje/oak/projects/neuro-variants/variant_position/credible/roussos_2024/variant_figures/roussos_2024.infant.GLU/rs182522360_profile_position.png",4,220,900)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-0.0276755443</v>
      </c>
      <c r="G2044" t="n">
        <v>0.3512726465783898</v>
      </c>
      <c r="H2044" t="n">
        <v>0.0110553045534292</v>
      </c>
      <c r="I2044" t="n">
        <v>0.6426946556037283</v>
      </c>
      <c r="J2044" t="n">
        <v>0.0287914195639233</v>
      </c>
      <c r="K2044" t="n">
        <v>0.4606802561800497</v>
      </c>
      <c r="L2044" t="b">
        <v>0</v>
      </c>
      <c r="M2044" t="b">
        <v>0</v>
      </c>
      <c r="N2044" t="inlineStr">
        <is>
          <t>ref</t>
        </is>
      </c>
      <c r="O2044" t="n">
        <v>-100</v>
      </c>
      <c r="P2044" t="n">
        <v>0.009730000000000001</v>
      </c>
      <c r="Q2044" t="n">
        <v>-35</v>
      </c>
      <c r="R2044" t="n">
        <v>0.010864</v>
      </c>
      <c r="S2044">
        <f>IMAGE("https://mitra.stanford.edu/kundaje/oak/projects/neuro-variants/variant_position/credible/roussos_2024/variant_figures/roussos_2024.infant.GLU/rs855616_count_position.png",4,220,900)</f>
        <v/>
      </c>
      <c r="T2044">
        <f>IMAGE("https://mitra.stanford.edu/kundaje/oak/projects/neuro-variants/variant_position/credible/roussos_2024/variant_figures/roussos_2024.infant.GLU/rs855616_profile_position.png",4,220,900)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0.004935683668</v>
      </c>
      <c r="G2045" t="n">
        <v>0.7800273160191245</v>
      </c>
      <c r="H2045" t="n">
        <v>0.0087392478499216</v>
      </c>
      <c r="I2045" t="n">
        <v>0.8521808979247917</v>
      </c>
      <c r="J2045" t="n">
        <v>0.0570438060803809</v>
      </c>
      <c r="K2045" t="n">
        <v>0.3204159830870322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0.04227</v>
      </c>
      <c r="Q2045" t="n">
        <v>-40</v>
      </c>
      <c r="R2045" t="n">
        <v>0.04956</v>
      </c>
      <c r="S2045">
        <f>IMAGE("https://mitra.stanford.edu/kundaje/oak/projects/neuro-variants/variant_position/credible/roussos_2024/variant_figures/roussos_2024.infant.GLU/rs8110434_count_position.png",4,220,900)</f>
        <v/>
      </c>
      <c r="T2045">
        <f>IMAGE("https://mitra.stanford.edu/kundaje/oak/projects/neuro-variants/variant_position/credible/roussos_2024/variant_figures/roussos_2024.infant.GLU/rs8110434_profile_position.png",4,220,900)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-0.0190764446</v>
      </c>
      <c r="G2046" t="n">
        <v>0.4606972320741859</v>
      </c>
      <c r="H2046" t="n">
        <v>0.0469286137038601</v>
      </c>
      <c r="I2046" t="n">
        <v>0.0101893532901938</v>
      </c>
      <c r="J2046" t="n">
        <v>0.0103573711942502</v>
      </c>
      <c r="K2046" t="n">
        <v>0.6750473794606945</v>
      </c>
      <c r="L2046" t="b">
        <v>1</v>
      </c>
      <c r="M2046" t="b">
        <v>0</v>
      </c>
      <c r="N2046" t="inlineStr">
        <is>
          <t>ref</t>
        </is>
      </c>
      <c r="O2046" t="n">
        <v>-85</v>
      </c>
      <c r="P2046" t="n">
        <v>0.01465</v>
      </c>
      <c r="Q2046" t="n">
        <v>80</v>
      </c>
      <c r="R2046" t="n">
        <v>0.02368</v>
      </c>
      <c r="S2046">
        <f>IMAGE("https://mitra.stanford.edu/kundaje/oak/projects/neuro-variants/variant_position/credible/roussos_2024/variant_figures/roussos_2024.infant.GLU/rs4803805_count_position.png",4,220,900)</f>
        <v/>
      </c>
      <c r="T2046">
        <f>IMAGE("https://mitra.stanford.edu/kundaje/oak/projects/neuro-variants/variant_position/credible/roussos_2024/variant_figures/roussos_2024.infant.GLU/rs4803805_profile_position.png",4,220,900)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0.06711921674</v>
      </c>
      <c r="G2047" t="n">
        <v>0.1171998364712273</v>
      </c>
      <c r="H2047" t="n">
        <v>0.0177061550514906</v>
      </c>
      <c r="I2047" t="n">
        <v>0.2460166299779754</v>
      </c>
      <c r="J2047" t="n">
        <v>0.012350360457682</v>
      </c>
      <c r="K2047" t="n">
        <v>0.6210644153413184</v>
      </c>
      <c r="L2047" t="b">
        <v>0</v>
      </c>
      <c r="M2047" t="b">
        <v>0</v>
      </c>
      <c r="N2047" t="inlineStr">
        <is>
          <t>alt</t>
        </is>
      </c>
      <c r="O2047" t="n">
        <v>100</v>
      </c>
      <c r="P2047" t="n">
        <v>0.003082</v>
      </c>
      <c r="Q2047" t="n">
        <v>-50</v>
      </c>
      <c r="R2047" t="n">
        <v>0.05615</v>
      </c>
      <c r="S2047">
        <f>IMAGE("https://mitra.stanford.edu/kundaje/oak/projects/neuro-variants/variant_position/credible/roussos_2024/variant_figures/roussos_2024.infant.GLU/rs61185863_count_position.png",4,220,900)</f>
        <v/>
      </c>
      <c r="T2047">
        <f>IMAGE("https://mitra.stanford.edu/kundaje/oak/projects/neuro-variants/variant_position/credible/roussos_2024/variant_figures/roussos_2024.infant.GLU/rs61185863_profile_position.png",4,220,900)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-0.0046542004119999</v>
      </c>
      <c r="G2048" t="n">
        <v>0.7074473217175579</v>
      </c>
      <c r="H2048" t="n">
        <v>0.0317254081221562</v>
      </c>
      <c r="I2048" t="n">
        <v>0.0479849996948802</v>
      </c>
      <c r="J2048" t="n">
        <v>0.0277607531030225</v>
      </c>
      <c r="K2048" t="n">
        <v>0.4707425197145267</v>
      </c>
      <c r="L2048" t="b">
        <v>0</v>
      </c>
      <c r="M2048" t="b">
        <v>0</v>
      </c>
      <c r="N2048" t="inlineStr">
        <is>
          <t>ref</t>
        </is>
      </c>
      <c r="O2048" t="n">
        <v>-100</v>
      </c>
      <c r="P2048" t="n">
        <v>0.03357</v>
      </c>
      <c r="Q2048" t="n">
        <v>45</v>
      </c>
      <c r="R2048" t="n">
        <v>0.02104</v>
      </c>
      <c r="S2048">
        <f>IMAGE("https://mitra.stanford.edu/kundaje/oak/projects/neuro-variants/variant_position/credible/roussos_2024/variant_figures/roussos_2024.infant.GLU/rs10401165_count_position.png",4,220,900)</f>
        <v/>
      </c>
      <c r="T2048">
        <f>IMAGE("https://mitra.stanford.edu/kundaje/oak/projects/neuro-variants/variant_position/credible/roussos_2024/variant_figures/roussos_2024.infant.GLU/rs10401165_profile_position.png",4,220,900)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0.0332075922</v>
      </c>
      <c r="G2049" t="n">
        <v>0.276000649030209</v>
      </c>
      <c r="H2049" t="n">
        <v>0.065792428928655</v>
      </c>
      <c r="I2049" t="n">
        <v>0.0019461687160096</v>
      </c>
      <c r="J2049" t="n">
        <v>0.0333197380894639</v>
      </c>
      <c r="K2049" t="n">
        <v>0.4308733486763265</v>
      </c>
      <c r="L2049" t="b">
        <v>1</v>
      </c>
      <c r="M2049" t="b">
        <v>0</v>
      </c>
      <c r="N2049" t="inlineStr">
        <is>
          <t>alt</t>
        </is>
      </c>
      <c r="O2049" t="n">
        <v>85</v>
      </c>
      <c r="P2049" t="n">
        <v>0.01889</v>
      </c>
      <c r="Q2049" t="n">
        <v>-55</v>
      </c>
      <c r="R2049" t="n">
        <v>0.05905</v>
      </c>
      <c r="S2049">
        <f>IMAGE("https://mitra.stanford.edu/kundaje/oak/projects/neuro-variants/variant_position/credible/roussos_2024/variant_figures/roussos_2024.infant.GLU/rs66675705_count_position.png",4,220,900)</f>
        <v/>
      </c>
      <c r="T2049">
        <f>IMAGE("https://mitra.stanford.edu/kundaje/oak/projects/neuro-variants/variant_position/credible/roussos_2024/variant_figures/roussos_2024.infant.GLU/rs66675705_profile_position.png",4,220,900)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0.007287848274</v>
      </c>
      <c r="G2050" t="n">
        <v>0.6183596339801156</v>
      </c>
      <c r="H2050" t="n">
        <v>0.0100038788653456</v>
      </c>
      <c r="I2050" t="n">
        <v>0.7309728186826254</v>
      </c>
      <c r="J2050" t="n">
        <v>0.8935779007473709</v>
      </c>
      <c r="K2050" t="n">
        <v>0.0036388010414752</v>
      </c>
      <c r="L2050" t="b">
        <v>0</v>
      </c>
      <c r="M2050" t="b">
        <v>0</v>
      </c>
      <c r="N2050" t="inlineStr">
        <is>
          <t>alt</t>
        </is>
      </c>
      <c r="O2050" t="n">
        <v>100</v>
      </c>
      <c r="P2050" t="n">
        <v>0.03458</v>
      </c>
      <c r="Q2050" t="n">
        <v>-90</v>
      </c>
      <c r="R2050" t="n">
        <v>0.04822</v>
      </c>
      <c r="S2050">
        <f>IMAGE("https://mitra.stanford.edu/kundaje/oak/projects/neuro-variants/variant_position/credible/roussos_2024/variant_figures/roussos_2024.infant.GLU/rs2304206_count_position.png",4,220,900)</f>
        <v/>
      </c>
      <c r="T2050">
        <f>IMAGE("https://mitra.stanford.edu/kundaje/oak/projects/neuro-variants/variant_position/credible/roussos_2024/variant_figures/roussos_2024.infant.GLU/rs2304206_profile_position.png",4,220,900)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0.0319345522</v>
      </c>
      <c r="G2051" t="n">
        <v>0.2981365157929012</v>
      </c>
      <c r="H2051" t="n">
        <v>0.0297499809429303</v>
      </c>
      <c r="I2051" t="n">
        <v>0.0601561078321748</v>
      </c>
      <c r="J2051" t="n">
        <v>0.9079256597367664</v>
      </c>
      <c r="K2051" t="n">
        <v>0.0030068783691762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0.06012</v>
      </c>
      <c r="Q2051" t="n">
        <v>100</v>
      </c>
      <c r="R2051" t="n">
        <v>0.1309</v>
      </c>
      <c r="S2051">
        <f>IMAGE("https://mitra.stanford.edu/kundaje/oak/projects/neuro-variants/variant_position/credible/roussos_2024/variant_figures/roussos_2024.infant.GLU/rs2304205_count_position.png",4,220,900)</f>
        <v/>
      </c>
      <c r="T2051">
        <f>IMAGE("https://mitra.stanford.edu/kundaje/oak/projects/neuro-variants/variant_position/credible/roussos_2024/variant_figures/roussos_2024.infant.GLU/rs2304205_profile_position.png",4,220,900)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0.1571185632</v>
      </c>
      <c r="G2052" t="n">
        <v>0.0207351736634138</v>
      </c>
      <c r="H2052" t="n">
        <v>0.0350833156421424</v>
      </c>
      <c r="I2052" t="n">
        <v>0.0339979577128506</v>
      </c>
      <c r="J2052" t="n">
        <v>0.3285720584668974</v>
      </c>
      <c r="K2052" t="n">
        <v>0.061360958707931</v>
      </c>
      <c r="L2052" t="b">
        <v>0</v>
      </c>
      <c r="M2052" t="b">
        <v>0</v>
      </c>
      <c r="N2052" t="inlineStr">
        <is>
          <t>alt</t>
        </is>
      </c>
      <c r="O2052" t="n">
        <v>-75</v>
      </c>
      <c r="P2052" t="n">
        <v>0.003166</v>
      </c>
      <c r="Q2052" t="n">
        <v>-75</v>
      </c>
      <c r="R2052" t="n">
        <v>0.094</v>
      </c>
      <c r="S2052">
        <f>IMAGE("https://mitra.stanford.edu/kundaje/oak/projects/neuro-variants/variant_position/credible/roussos_2024/variant_figures/roussos_2024.infant.GLU/rs2278999_count_position.png",4,220,900)</f>
        <v/>
      </c>
      <c r="T2052">
        <f>IMAGE("https://mitra.stanford.edu/kundaje/oak/projects/neuro-variants/variant_position/credible/roussos_2024/variant_figures/roussos_2024.infant.GLU/rs2278999_profile_position.png",4,220,900)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0.0332955478</v>
      </c>
      <c r="G2053" t="n">
        <v>0.2874665390922201</v>
      </c>
      <c r="H2053" t="n">
        <v>0.0130926509555282</v>
      </c>
      <c r="I2053" t="n">
        <v>0.4756831339418888</v>
      </c>
      <c r="J2053" t="n">
        <v>0.0404076368526642</v>
      </c>
      <c r="K2053" t="n">
        <v>0.3955701178985318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0.03253</v>
      </c>
      <c r="Q2053" t="n">
        <v>-100</v>
      </c>
      <c r="R2053" t="n">
        <v>0.05783</v>
      </c>
      <c r="S2053">
        <f>IMAGE("https://mitra.stanford.edu/kundaje/oak/projects/neuro-variants/variant_position/credible/roussos_2024/variant_figures/roussos_2024.infant.GLU/rs2052241_count_position.png",4,220,900)</f>
        <v/>
      </c>
      <c r="T2053">
        <f>IMAGE("https://mitra.stanford.edu/kundaje/oak/projects/neuro-variants/variant_position/credible/roussos_2024/variant_figures/roussos_2024.infant.GLU/rs2052241_profile_position.png",4,220,900)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-0.026210558</v>
      </c>
      <c r="G2054" t="n">
        <v>0.2305444761099186</v>
      </c>
      <c r="H2054" t="n">
        <v>0.0130093358924983</v>
      </c>
      <c r="I2054" t="n">
        <v>0.4848289283069534</v>
      </c>
      <c r="J2054" t="n">
        <v>0.06395312947816301</v>
      </c>
      <c r="K2054" t="n">
        <v>0.2982456722982629</v>
      </c>
      <c r="L2054" t="b">
        <v>0</v>
      </c>
      <c r="M2054" t="b">
        <v>0</v>
      </c>
      <c r="N2054" t="inlineStr">
        <is>
          <t>ref</t>
        </is>
      </c>
      <c r="O2054" t="n">
        <v>-80</v>
      </c>
      <c r="P2054" t="n">
        <v>0.004196</v>
      </c>
      <c r="Q2054" t="n">
        <v>5</v>
      </c>
      <c r="R2054" t="n">
        <v>0.01306</v>
      </c>
      <c r="S2054">
        <f>IMAGE("https://mitra.stanford.edu/kundaje/oak/projects/neuro-variants/variant_position/credible/roussos_2024/variant_figures/roussos_2024.infant.GLU/rs758749_count_position.png",4,220,900)</f>
        <v/>
      </c>
      <c r="T2054">
        <f>IMAGE("https://mitra.stanford.edu/kundaje/oak/projects/neuro-variants/variant_position/credible/roussos_2024/variant_figures/roussos_2024.infant.GLU/rs758749_profile_position.png",4,220,900)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-0.0118479378199999</v>
      </c>
      <c r="G2055" t="n">
        <v>0.602852072002488</v>
      </c>
      <c r="H2055" t="n">
        <v>0.0077178200813403</v>
      </c>
      <c r="I2055" t="n">
        <v>0.930674797947321</v>
      </c>
      <c r="J2055" t="n">
        <v>0.0226360810423509</v>
      </c>
      <c r="K2055" t="n">
        <v>0.5375583218392107</v>
      </c>
      <c r="L2055" t="b">
        <v>0</v>
      </c>
      <c r="M2055" t="b">
        <v>0</v>
      </c>
      <c r="N2055" t="inlineStr">
        <is>
          <t>ref</t>
        </is>
      </c>
      <c r="O2055" t="n">
        <v>-70</v>
      </c>
      <c r="P2055" t="n">
        <v>0.00359</v>
      </c>
      <c r="Q2055" t="n">
        <v>100</v>
      </c>
      <c r="R2055" t="n">
        <v>0.1353</v>
      </c>
      <c r="S2055">
        <f>IMAGE("https://mitra.stanford.edu/kundaje/oak/projects/neuro-variants/variant_position/credible/roussos_2024/variant_figures/roussos_2024.infant.GLU/rs17247190_count_position.png",4,220,900)</f>
        <v/>
      </c>
      <c r="T2055">
        <f>IMAGE("https://mitra.stanford.edu/kundaje/oak/projects/neuro-variants/variant_position/credible/roussos_2024/variant_figures/roussos_2024.infant.GLU/rs17247190_profile_position.png",4,220,900)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-0.01073834146</v>
      </c>
      <c r="G2056" t="n">
        <v>0.647661605714322</v>
      </c>
      <c r="H2056" t="n">
        <v>0.0311141888637794</v>
      </c>
      <c r="I2056" t="n">
        <v>0.0513667761480055</v>
      </c>
      <c r="J2056" t="n">
        <v>0.0302464780969597</v>
      </c>
      <c r="K2056" t="n">
        <v>0.4647132139326918</v>
      </c>
      <c r="L2056" t="b">
        <v>0</v>
      </c>
      <c r="M2056" t="b">
        <v>0</v>
      </c>
      <c r="N2056" t="inlineStr">
        <is>
          <t>ref</t>
        </is>
      </c>
      <c r="O2056" t="n">
        <v>90</v>
      </c>
      <c r="P2056" t="n">
        <v>0.02844</v>
      </c>
      <c r="Q2056" t="n">
        <v>-25</v>
      </c>
      <c r="R2056" t="n">
        <v>0.04715</v>
      </c>
      <c r="S2056">
        <f>IMAGE("https://mitra.stanford.edu/kundaje/oak/projects/neuro-variants/variant_position/credible/roussos_2024/variant_figures/roussos_2024.infant.GLU/rs10206268_count_position.png",4,220,900)</f>
        <v/>
      </c>
      <c r="T2056">
        <f>IMAGE("https://mitra.stanford.edu/kundaje/oak/projects/neuro-variants/variant_position/credible/roussos_2024/variant_figures/roussos_2024.infant.GLU/rs10206268_profile_position.png",4,220,900)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-0.0171821636</v>
      </c>
      <c r="G2057" t="n">
        <v>0.4951794218139132</v>
      </c>
      <c r="H2057" t="n">
        <v>0.011754417650555</v>
      </c>
      <c r="I2057" t="n">
        <v>0.5812254063529932</v>
      </c>
      <c r="J2057" t="n">
        <v>0.0071066381533983</v>
      </c>
      <c r="K2057" t="n">
        <v>0.7105928540581196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0</v>
      </c>
      <c r="R2057" t="n">
        <v>0</v>
      </c>
      <c r="S2057">
        <f>IMAGE("https://mitra.stanford.edu/kundaje/oak/projects/neuro-variants/variant_position/credible/roussos_2024/variant_figures/roussos_2024.infant.GLU/rs35983183_count_position.png",4,220,900)</f>
        <v/>
      </c>
      <c r="T2057">
        <f>IMAGE("https://mitra.stanford.edu/kundaje/oak/projects/neuro-variants/variant_position/credible/roussos_2024/variant_figures/roussos_2024.infant.GLU/rs35983183_profile_position.png",4,220,900)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0.095938581</v>
      </c>
      <c r="G2058" t="n">
        <v>0.0548109775443338</v>
      </c>
      <c r="H2058" t="n">
        <v>0.0351544785087453</v>
      </c>
      <c r="I2058" t="n">
        <v>0.0333158089595254</v>
      </c>
      <c r="J2058" t="n">
        <v>0.0025055667012059</v>
      </c>
      <c r="K2058" t="n">
        <v>0.8526332591774933</v>
      </c>
      <c r="L2058" t="b">
        <v>0</v>
      </c>
      <c r="M2058" t="b">
        <v>0</v>
      </c>
      <c r="N2058" t="inlineStr">
        <is>
          <t>alt</t>
        </is>
      </c>
      <c r="O2058" t="n">
        <v>50</v>
      </c>
      <c r="P2058" t="n">
        <v>0.006176</v>
      </c>
      <c r="Q2058" t="n">
        <v>-90</v>
      </c>
      <c r="R2058" t="n">
        <v>0.01221</v>
      </c>
      <c r="S2058">
        <f>IMAGE("https://mitra.stanford.edu/kundaje/oak/projects/neuro-variants/variant_position/credible/roussos_2024/variant_figures/roussos_2024.infant.GLU/rs35925486_count_position.png",4,220,900)</f>
        <v/>
      </c>
      <c r="T2058">
        <f>IMAGE("https://mitra.stanford.edu/kundaje/oak/projects/neuro-variants/variant_position/credible/roussos_2024/variant_figures/roussos_2024.infant.GLU/rs35925486_profile_position.png",4,220,900)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0.025608606</v>
      </c>
      <c r="G2059" t="n">
        <v>0.3606429874589751</v>
      </c>
      <c r="H2059" t="n">
        <v>0.0382343040990314</v>
      </c>
      <c r="I2059" t="n">
        <v>0.0241290761360157</v>
      </c>
      <c r="J2059" t="n">
        <v>0.0096783438788332</v>
      </c>
      <c r="K2059" t="n">
        <v>0.6957440972617301</v>
      </c>
      <c r="L2059" t="b">
        <v>0</v>
      </c>
      <c r="M2059" t="b">
        <v>0</v>
      </c>
      <c r="N2059" t="inlineStr">
        <is>
          <t>alt</t>
        </is>
      </c>
      <c r="O2059" t="n">
        <v>60</v>
      </c>
      <c r="P2059" t="n">
        <v>0.005188</v>
      </c>
      <c r="Q2059" t="n">
        <v>-10</v>
      </c>
      <c r="R2059" t="n">
        <v>0.00299</v>
      </c>
      <c r="S2059">
        <f>IMAGE("https://mitra.stanford.edu/kundaje/oak/projects/neuro-variants/variant_position/credible/roussos_2024/variant_figures/roussos_2024.infant.GLU/rs6531063_count_position.png",4,220,900)</f>
        <v/>
      </c>
      <c r="T2059">
        <f>IMAGE("https://mitra.stanford.edu/kundaje/oak/projects/neuro-variants/variant_position/credible/roussos_2024/variant_figures/roussos_2024.infant.GLU/rs6531063_profile_position.png",4,220,900)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0.1056496724</v>
      </c>
      <c r="G2060" t="n">
        <v>0.0495732461210166</v>
      </c>
      <c r="H2060" t="n">
        <v>0.0120682742973502</v>
      </c>
      <c r="I2060" t="n">
        <v>0.5412924899152278</v>
      </c>
      <c r="J2060" t="n">
        <v>0.2293536012698692</v>
      </c>
      <c r="K2060" t="n">
        <v>0.0963164270191308</v>
      </c>
      <c r="L2060" t="b">
        <v>0</v>
      </c>
      <c r="M2060" t="b">
        <v>0</v>
      </c>
      <c r="N2060" t="inlineStr">
        <is>
          <t>alt</t>
        </is>
      </c>
      <c r="O2060" t="n">
        <v>100</v>
      </c>
      <c r="P2060" t="n">
        <v>0.1204</v>
      </c>
      <c r="Q2060" t="n">
        <v>100</v>
      </c>
      <c r="R2060" t="n">
        <v>0.01953</v>
      </c>
      <c r="S2060">
        <f>IMAGE("https://mitra.stanford.edu/kundaje/oak/projects/neuro-variants/variant_position/credible/roussos_2024/variant_figures/roussos_2024.infant.GLU/rs2061607_count_position.png",4,220,900)</f>
        <v/>
      </c>
      <c r="T2060">
        <f>IMAGE("https://mitra.stanford.edu/kundaje/oak/projects/neuro-variants/variant_position/credible/roussos_2024/variant_figures/roussos_2024.infant.GLU/rs2061607_profile_position.png",4,220,900)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0.020182943</v>
      </c>
      <c r="G2061" t="n">
        <v>0.4345654105936818</v>
      </c>
      <c r="H2061" t="n">
        <v>0.0076990894154444</v>
      </c>
      <c r="I2061" t="n">
        <v>0.9187784955162072</v>
      </c>
      <c r="J2061" t="n">
        <v>0.040942260631848</v>
      </c>
      <c r="K2061" t="n">
        <v>0.3822753931845649</v>
      </c>
      <c r="L2061" t="b">
        <v>0</v>
      </c>
      <c r="M2061" t="b">
        <v>0</v>
      </c>
      <c r="N2061" t="inlineStr">
        <is>
          <t>alt</t>
        </is>
      </c>
      <c r="O2061" t="n">
        <v>-100</v>
      </c>
      <c r="P2061" t="n">
        <v>0.02908</v>
      </c>
      <c r="Q2061" t="n">
        <v>60</v>
      </c>
      <c r="R2061" t="n">
        <v>0.1168</v>
      </c>
      <c r="S2061">
        <f>IMAGE("https://mitra.stanford.edu/kundaje/oak/projects/neuro-variants/variant_position/credible/roussos_2024/variant_figures/roussos_2024.infant.GLU/rs4552217_count_position.png",4,220,900)</f>
        <v/>
      </c>
      <c r="T2061">
        <f>IMAGE("https://mitra.stanford.edu/kundaje/oak/projects/neuro-variants/variant_position/credible/roussos_2024/variant_figures/roussos_2024.infant.GLU/rs4552217_profile_position.png",4,220,900)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0.0458131864</v>
      </c>
      <c r="G2062" t="n">
        <v>0.1959484092196125</v>
      </c>
      <c r="H2062" t="n">
        <v>0.0127698827796601</v>
      </c>
      <c r="I2062" t="n">
        <v>0.5007145214614203</v>
      </c>
      <c r="J2062" t="n">
        <v>0.0448191097687338</v>
      </c>
      <c r="K2062" t="n">
        <v>0.3631885206930995</v>
      </c>
      <c r="L2062" t="b">
        <v>0</v>
      </c>
      <c r="M2062" t="b">
        <v>0</v>
      </c>
      <c r="N2062" t="inlineStr">
        <is>
          <t>alt</t>
        </is>
      </c>
      <c r="O2062" t="n">
        <v>-100</v>
      </c>
      <c r="P2062" t="n">
        <v>0.01752</v>
      </c>
      <c r="Q2062" t="n">
        <v>30</v>
      </c>
      <c r="R2062" t="n">
        <v>0.03833</v>
      </c>
      <c r="S2062">
        <f>IMAGE("https://mitra.stanford.edu/kundaje/oak/projects/neuro-variants/variant_position/credible/roussos_2024/variant_figures/roussos_2024.infant.GLU/rs4277554_count_position.png",4,220,900)</f>
        <v/>
      </c>
      <c r="T2062">
        <f>IMAGE("https://mitra.stanford.edu/kundaje/oak/projects/neuro-variants/variant_position/credible/roussos_2024/variant_figures/roussos_2024.infant.GLU/rs4277554_profile_position.png",4,220,900)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0.0036964812459999</v>
      </c>
      <c r="G2063" t="n">
        <v>0.702200682620658</v>
      </c>
      <c r="H2063" t="n">
        <v>0.0462685964828699</v>
      </c>
      <c r="I2063" t="n">
        <v>0.0108236393084178</v>
      </c>
      <c r="J2063" t="n">
        <v>0.0280153883463038</v>
      </c>
      <c r="K2063" t="n">
        <v>0.4650338540304689</v>
      </c>
      <c r="L2063" t="b">
        <v>1</v>
      </c>
      <c r="M2063" t="b">
        <v>0</v>
      </c>
      <c r="N2063" t="inlineStr">
        <is>
          <t>alt</t>
        </is>
      </c>
      <c r="O2063" t="n">
        <v>-60</v>
      </c>
      <c r="P2063" t="n">
        <v>0.003296</v>
      </c>
      <c r="Q2063" t="n">
        <v>-100</v>
      </c>
      <c r="R2063" t="n">
        <v>0.09470000000000001</v>
      </c>
      <c r="S2063">
        <f>IMAGE("https://mitra.stanford.edu/kundaje/oak/projects/neuro-variants/variant_position/credible/roussos_2024/variant_figures/roussos_2024.infant.GLU/rs7608960_count_position.png",4,220,900)</f>
        <v/>
      </c>
      <c r="T2063">
        <f>IMAGE("https://mitra.stanford.edu/kundaje/oak/projects/neuro-variants/variant_position/credible/roussos_2024/variant_figures/roussos_2024.infant.GLU/rs7608960_profile_position.png",4,220,900)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-0.0286455</v>
      </c>
      <c r="G2064" t="n">
        <v>0.3355654883277165</v>
      </c>
      <c r="H2064" t="n">
        <v>0.0114299425058838</v>
      </c>
      <c r="I2064" t="n">
        <v>0.6039852463850582</v>
      </c>
      <c r="J2064" t="n">
        <v>0.0145472783791529</v>
      </c>
      <c r="K2064" t="n">
        <v>0.6046898281526996</v>
      </c>
      <c r="L2064" t="b">
        <v>0</v>
      </c>
      <c r="M2064" t="b">
        <v>0</v>
      </c>
      <c r="N2064" t="inlineStr">
        <is>
          <t>ref</t>
        </is>
      </c>
      <c r="O2064" t="n">
        <v>100</v>
      </c>
      <c r="P2064" t="n">
        <v>0.01323</v>
      </c>
      <c r="Q2064" t="n">
        <v>40</v>
      </c>
      <c r="R2064" t="n">
        <v>0.1246</v>
      </c>
      <c r="S2064">
        <f>IMAGE("https://mitra.stanford.edu/kundaje/oak/projects/neuro-variants/variant_position/credible/roussos_2024/variant_figures/roussos_2024.infant.GLU/rs11895519_count_position.png",4,220,900)</f>
        <v/>
      </c>
      <c r="T2064">
        <f>IMAGE("https://mitra.stanford.edu/kundaje/oak/projects/neuro-variants/variant_position/credible/roussos_2024/variant_figures/roussos_2024.infant.GLU/rs11895519_profile_position.png",4,220,900)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-0.0200912014</v>
      </c>
      <c r="G2065" t="n">
        <v>0.4473823685601667</v>
      </c>
      <c r="H2065" t="n">
        <v>0.0619028926330683</v>
      </c>
      <c r="I2065" t="n">
        <v>0.0026631156430405</v>
      </c>
      <c r="J2065" t="n">
        <v>0.0026565841398619</v>
      </c>
      <c r="K2065" t="n">
        <v>0.8151945651000454</v>
      </c>
      <c r="L2065" t="b">
        <v>0</v>
      </c>
      <c r="M2065" t="b">
        <v>0</v>
      </c>
      <c r="N2065" t="inlineStr">
        <is>
          <t>ref</t>
        </is>
      </c>
      <c r="O2065" t="n">
        <v>80</v>
      </c>
      <c r="P2065" t="n">
        <v>0.009766</v>
      </c>
      <c r="Q2065" t="n">
        <v>100</v>
      </c>
      <c r="R2065" t="n">
        <v>0.04102</v>
      </c>
      <c r="S2065">
        <f>IMAGE("https://mitra.stanford.edu/kundaje/oak/projects/neuro-variants/variant_position/credible/roussos_2024/variant_figures/roussos_2024.infant.GLU/rs140227113_count_position.png",4,220,900)</f>
        <v/>
      </c>
      <c r="T2065">
        <f>IMAGE("https://mitra.stanford.edu/kundaje/oak/projects/neuro-variants/variant_position/credible/roussos_2024/variant_figures/roussos_2024.infant.GLU/rs140227113_profile_position.png",4,220,900)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0.036342866</v>
      </c>
      <c r="G2066" t="n">
        <v>0.2459313827207514</v>
      </c>
      <c r="H2066" t="n">
        <v>0.009781847688793199</v>
      </c>
      <c r="I2066" t="n">
        <v>0.7161441238031833</v>
      </c>
      <c r="J2066" t="n">
        <v>0.004410370598999</v>
      </c>
      <c r="K2066" t="n">
        <v>0.783660771276541</v>
      </c>
      <c r="L2066" t="b">
        <v>0</v>
      </c>
      <c r="M2066" t="b">
        <v>0</v>
      </c>
      <c r="N2066" t="inlineStr">
        <is>
          <t>alt</t>
        </is>
      </c>
      <c r="O2066" t="n">
        <v>80</v>
      </c>
      <c r="P2066" t="n">
        <v>0.002739</v>
      </c>
      <c r="Q2066" t="n">
        <v>25</v>
      </c>
      <c r="R2066" t="n">
        <v>0.02905</v>
      </c>
      <c r="S2066">
        <f>IMAGE("https://mitra.stanford.edu/kundaje/oak/projects/neuro-variants/variant_position/credible/roussos_2024/variant_figures/roussos_2024.infant.GLU/rs1463977_count_position.png",4,220,900)</f>
        <v/>
      </c>
      <c r="T2066">
        <f>IMAGE("https://mitra.stanford.edu/kundaje/oak/projects/neuro-variants/variant_position/credible/roussos_2024/variant_figures/roussos_2024.infant.GLU/rs1463977_profile_position.png",4,220,900)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-0.0097882632999999</v>
      </c>
      <c r="G2067" t="n">
        <v>0.5953083767843375</v>
      </c>
      <c r="H2067" t="n">
        <v>0.008378932866354501</v>
      </c>
      <c r="I2067" t="n">
        <v>0.874397167476632</v>
      </c>
      <c r="J2067" t="n">
        <v>0.0868217994223858</v>
      </c>
      <c r="K2067" t="n">
        <v>0.2337549833291053</v>
      </c>
      <c r="L2067" t="b">
        <v>0</v>
      </c>
      <c r="M2067" t="b">
        <v>0</v>
      </c>
      <c r="N2067" t="inlineStr">
        <is>
          <t>ref</t>
        </is>
      </c>
      <c r="O2067" t="n">
        <v>-40</v>
      </c>
      <c r="P2067" t="n">
        <v>0.00825</v>
      </c>
      <c r="Q2067" t="n">
        <v>-100</v>
      </c>
      <c r="R2067" t="n">
        <v>0.08765000000000001</v>
      </c>
      <c r="S2067">
        <f>IMAGE("https://mitra.stanford.edu/kundaje/oak/projects/neuro-variants/variant_position/credible/roussos_2024/variant_figures/roussos_2024.infant.GLU/rs34995758_count_position.png",4,220,900)</f>
        <v/>
      </c>
      <c r="T2067">
        <f>IMAGE("https://mitra.stanford.edu/kundaje/oak/projects/neuro-variants/variant_position/credible/roussos_2024/variant_figures/roussos_2024.infant.GLU/rs34995758_profile_position.png",4,220,900)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-0.25448177</v>
      </c>
      <c r="G2068" t="n">
        <v>0.0056215099488017</v>
      </c>
      <c r="H2068" t="n">
        <v>0.0366539582811979</v>
      </c>
      <c r="I2068" t="n">
        <v>0.0287131446324023</v>
      </c>
      <c r="J2068" t="n">
        <v>0.1914118477038734</v>
      </c>
      <c r="K2068" t="n">
        <v>0.1208488374093316</v>
      </c>
      <c r="L2068" t="b">
        <v>1</v>
      </c>
      <c r="M2068" t="b">
        <v>1</v>
      </c>
      <c r="N2068" t="inlineStr">
        <is>
          <t>ref</t>
        </is>
      </c>
      <c r="O2068" t="n">
        <v>40</v>
      </c>
      <c r="P2068" t="n">
        <v>0.005188</v>
      </c>
      <c r="Q2068" t="n">
        <v>20</v>
      </c>
      <c r="R2068" t="n">
        <v>0.01709</v>
      </c>
      <c r="S2068">
        <f>IMAGE("https://mitra.stanford.edu/kundaje/oak/projects/neuro-variants/variant_position/credible/roussos_2024/variant_figures/roussos_2024.infant.GLU/rs3769126_count_position.png",4,220,900)</f>
        <v/>
      </c>
      <c r="T2068">
        <f>IMAGE("https://mitra.stanford.edu/kundaje/oak/projects/neuro-variants/variant_position/credible/roussos_2024/variant_figures/roussos_2024.infant.GLU/rs3769126_profile_position.png",4,220,900)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0.0315735538</v>
      </c>
      <c r="G2069" t="n">
        <v>0.2955009462097318</v>
      </c>
      <c r="H2069" t="n">
        <v>0.0111391320807276</v>
      </c>
      <c r="I2069" t="n">
        <v>0.6234671518652549</v>
      </c>
      <c r="J2069" t="n">
        <v>0.0260246037170131</v>
      </c>
      <c r="K2069" t="n">
        <v>0.484798967725883</v>
      </c>
      <c r="L2069" t="b">
        <v>0</v>
      </c>
      <c r="M2069" t="b">
        <v>0</v>
      </c>
      <c r="N2069" t="inlineStr">
        <is>
          <t>alt</t>
        </is>
      </c>
      <c r="O2069" t="n">
        <v>90</v>
      </c>
      <c r="P2069" t="n">
        <v>0.002203</v>
      </c>
      <c r="Q2069" t="n">
        <v>80</v>
      </c>
      <c r="R2069" t="n">
        <v>0.05685</v>
      </c>
      <c r="S2069">
        <f>IMAGE("https://mitra.stanford.edu/kundaje/oak/projects/neuro-variants/variant_position/credible/roussos_2024/variant_figures/roussos_2024.infant.GLU/rs4665905_count_position.png",4,220,900)</f>
        <v/>
      </c>
      <c r="T2069">
        <f>IMAGE("https://mitra.stanford.edu/kundaje/oak/projects/neuro-variants/variant_position/credible/roussos_2024/variant_figures/roussos_2024.infant.GLU/rs4665905_profile_position.png",4,220,900)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-0.0530725848</v>
      </c>
      <c r="G2070" t="n">
        <v>0.1611044167246136</v>
      </c>
      <c r="H2070" t="n">
        <v>0.0129514080047412</v>
      </c>
      <c r="I2070" t="n">
        <v>0.4834041372297284</v>
      </c>
      <c r="J2070" t="n">
        <v>0.2475065587865693</v>
      </c>
      <c r="K2070" t="n">
        <v>0.0875070113504874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0.02008</v>
      </c>
      <c r="Q2070" t="n">
        <v>-100</v>
      </c>
      <c r="R2070" t="n">
        <v>0.718</v>
      </c>
      <c r="S2070">
        <f>IMAGE("https://mitra.stanford.edu/kundaje/oak/projects/neuro-variants/variant_position/credible/roussos_2024/variant_figures/roussos_2024.infant.GLU/rs34736994_count_position.png",4,220,900)</f>
        <v/>
      </c>
      <c r="T2070">
        <f>IMAGE("https://mitra.stanford.edu/kundaje/oak/projects/neuro-variants/variant_position/credible/roussos_2024/variant_figures/roussos_2024.infant.GLU/rs34736994_profile_position.png",4,220,900)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0.03842994248</v>
      </c>
      <c r="G2071" t="n">
        <v>0.2509384104019148</v>
      </c>
      <c r="H2071" t="n">
        <v>0.0194952847005575</v>
      </c>
      <c r="I2071" t="n">
        <v>0.1969540508712829</v>
      </c>
      <c r="J2071" t="n">
        <v>0.0129456116757423</v>
      </c>
      <c r="K2071" t="n">
        <v>0.6265990771944854</v>
      </c>
      <c r="L2071" t="b">
        <v>0</v>
      </c>
      <c r="M2071" t="b">
        <v>0</v>
      </c>
      <c r="N2071" t="inlineStr">
        <is>
          <t>alt</t>
        </is>
      </c>
      <c r="O2071" t="n">
        <v>90</v>
      </c>
      <c r="P2071" t="n">
        <v>0.006264</v>
      </c>
      <c r="Q2071" t="n">
        <v>-65</v>
      </c>
      <c r="R2071" t="n">
        <v>0.04407</v>
      </c>
      <c r="S2071">
        <f>IMAGE("https://mitra.stanford.edu/kundaje/oak/projects/neuro-variants/variant_position/credible/roussos_2024/variant_figures/roussos_2024.infant.GLU/rs2082610_count_position.png",4,220,900)</f>
        <v/>
      </c>
      <c r="T2071">
        <f>IMAGE("https://mitra.stanford.edu/kundaje/oak/projects/neuro-variants/variant_position/credible/roussos_2024/variant_figures/roussos_2024.infant.GLU/rs2082610_profile_position.png",4,220,900)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0.110657628</v>
      </c>
      <c r="G2072" t="n">
        <v>0.0453084093494118</v>
      </c>
      <c r="H2072" t="n">
        <v>0.0185654329174402</v>
      </c>
      <c r="I2072" t="n">
        <v>0.2319759116845457</v>
      </c>
      <c r="J2072" t="n">
        <v>0.2813498974845124</v>
      </c>
      <c r="K2072" t="n">
        <v>0.0761437559182335</v>
      </c>
      <c r="L2072" t="b">
        <v>0</v>
      </c>
      <c r="M2072" t="b">
        <v>0</v>
      </c>
      <c r="N2072" t="inlineStr">
        <is>
          <t>alt</t>
        </is>
      </c>
      <c r="O2072" t="n">
        <v>-10</v>
      </c>
      <c r="P2072" t="n">
        <v>0.001144</v>
      </c>
      <c r="Q2072" t="n">
        <v>-85</v>
      </c>
      <c r="R2072" t="n">
        <v>0.1472</v>
      </c>
      <c r="S2072">
        <f>IMAGE("https://mitra.stanford.edu/kundaje/oak/projects/neuro-variants/variant_position/credible/roussos_2024/variant_figures/roussos_2024.infant.GLU/rs11891133_count_position.png",4,220,900)</f>
        <v/>
      </c>
      <c r="T2072">
        <f>IMAGE("https://mitra.stanford.edu/kundaje/oak/projects/neuro-variants/variant_position/credible/roussos_2024/variant_figures/roussos_2024.infant.GLU/rs11891133_profile_position.png",4,220,900)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-0.09036399439999999</v>
      </c>
      <c r="G2073" t="n">
        <v>0.0721991207048043</v>
      </c>
      <c r="H2073" t="n">
        <v>0.017823856909334</v>
      </c>
      <c r="I2073" t="n">
        <v>0.2534767653612229</v>
      </c>
      <c r="J2073" t="n">
        <v>0.4687636411737472</v>
      </c>
      <c r="K2073" t="n">
        <v>0.0345884526142221</v>
      </c>
      <c r="L2073" t="b">
        <v>0</v>
      </c>
      <c r="M2073" t="b">
        <v>0</v>
      </c>
      <c r="N2073" t="inlineStr">
        <is>
          <t>ref</t>
        </is>
      </c>
      <c r="O2073" t="n">
        <v>-100</v>
      </c>
      <c r="P2073" t="n">
        <v>0.008484</v>
      </c>
      <c r="Q2073" t="n">
        <v>-100</v>
      </c>
      <c r="R2073" t="n">
        <v>0.11707</v>
      </c>
      <c r="S2073">
        <f>IMAGE("https://mitra.stanford.edu/kundaje/oak/projects/neuro-variants/variant_position/credible/roussos_2024/variant_figures/roussos_2024.infant.GLU/rs2082611_count_position.png",4,220,900)</f>
        <v/>
      </c>
      <c r="T2073">
        <f>IMAGE("https://mitra.stanford.edu/kundaje/oak/projects/neuro-variants/variant_position/credible/roussos_2024/variant_figures/roussos_2024.infant.GLU/rs2082611_profile_position.png",4,220,900)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-0.0268211864</v>
      </c>
      <c r="G2074" t="n">
        <v>0.3670806449647698</v>
      </c>
      <c r="H2074" t="n">
        <v>0.0182611439745113</v>
      </c>
      <c r="I2074" t="n">
        <v>0.229621437802631</v>
      </c>
      <c r="J2074" t="n">
        <v>0.5179071408099826</v>
      </c>
      <c r="K2074" t="n">
        <v>0.0286857586848139</v>
      </c>
      <c r="L2074" t="b">
        <v>0</v>
      </c>
      <c r="M2074" t="b">
        <v>0</v>
      </c>
      <c r="N2074" t="inlineStr">
        <is>
          <t>ref</t>
        </is>
      </c>
      <c r="O2074" t="n">
        <v>-75</v>
      </c>
      <c r="P2074" t="n">
        <v>0.4043</v>
      </c>
      <c r="Q2074" t="n">
        <v>-45</v>
      </c>
      <c r="R2074" t="n">
        <v>0.0537</v>
      </c>
      <c r="S2074">
        <f>IMAGE("https://mitra.stanford.edu/kundaje/oak/projects/neuro-variants/variant_position/credible/roussos_2024/variant_figures/roussos_2024.infant.GLU/rs35610357_count_position.png",4,220,900)</f>
        <v/>
      </c>
      <c r="T2074">
        <f>IMAGE("https://mitra.stanford.edu/kundaje/oak/projects/neuro-variants/variant_position/credible/roussos_2024/variant_figures/roussos_2024.infant.GLU/rs35610357_profile_position.png",4,220,900)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0.02078739588</v>
      </c>
      <c r="G2075" t="n">
        <v>0.4266831387032228</v>
      </c>
      <c r="H2075" t="n">
        <v>0.0145617637465659</v>
      </c>
      <c r="I2075" t="n">
        <v>0.3822747674599024</v>
      </c>
      <c r="J2075" t="n">
        <v>0.1807954319980598</v>
      </c>
      <c r="K2075" t="n">
        <v>0.1230974925168893</v>
      </c>
      <c r="L2075" t="b">
        <v>0</v>
      </c>
      <c r="M2075" t="b">
        <v>0</v>
      </c>
      <c r="N2075" t="inlineStr">
        <is>
          <t>alt</t>
        </is>
      </c>
      <c r="O2075" t="n">
        <v>80</v>
      </c>
      <c r="P2075" t="n">
        <v>0.003342</v>
      </c>
      <c r="Q2075" t="n">
        <v>60</v>
      </c>
      <c r="R2075" t="n">
        <v>0.0654</v>
      </c>
      <c r="S2075">
        <f>IMAGE("https://mitra.stanford.edu/kundaje/oak/projects/neuro-variants/variant_position/credible/roussos_2024/variant_figures/roussos_2024.infant.GLU/rs12475388_count_position.png",4,220,900)</f>
        <v/>
      </c>
      <c r="T2075">
        <f>IMAGE("https://mitra.stanford.edu/kundaje/oak/projects/neuro-variants/variant_position/credible/roussos_2024/variant_figures/roussos_2024.infant.GLU/rs12475388_profile_position.png",4,220,900)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0.1322392299999999</v>
      </c>
      <c r="G2076" t="n">
        <v>0.0298176838568494</v>
      </c>
      <c r="H2076" t="n">
        <v>0.0390255602869551</v>
      </c>
      <c r="I2076" t="n">
        <v>0.0222034886955059</v>
      </c>
      <c r="J2076" t="n">
        <v>0.163797702771225</v>
      </c>
      <c r="K2076" t="n">
        <v>0.1342139155964347</v>
      </c>
      <c r="L2076" t="b">
        <v>0</v>
      </c>
      <c r="M2076" t="b">
        <v>0</v>
      </c>
      <c r="N2076" t="inlineStr">
        <is>
          <t>alt</t>
        </is>
      </c>
      <c r="O2076" t="n">
        <v>100</v>
      </c>
      <c r="P2076" t="n">
        <v>0.4956</v>
      </c>
      <c r="Q2076" t="n">
        <v>100</v>
      </c>
      <c r="R2076" t="n">
        <v>0.3682</v>
      </c>
      <c r="S2076">
        <f>IMAGE("https://mitra.stanford.edu/kundaje/oak/projects/neuro-variants/variant_position/credible/roussos_2024/variant_figures/roussos_2024.infant.GLU/rs2196150_count_position.png",4,220,900)</f>
        <v/>
      </c>
      <c r="T2076">
        <f>IMAGE("https://mitra.stanford.edu/kundaje/oak/projects/neuro-variants/variant_position/credible/roussos_2024/variant_figures/roussos_2024.infant.GLU/rs2196150_profile_position.png",4,220,900)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-0.0221720284</v>
      </c>
      <c r="G2077" t="n">
        <v>0.4168819541851763</v>
      </c>
      <c r="H2077" t="n">
        <v>0.0363427617780597</v>
      </c>
      <c r="I2077" t="n">
        <v>0.0293473231079974</v>
      </c>
      <c r="J2077" t="n">
        <v>0.0064617826671663</v>
      </c>
      <c r="K2077" t="n">
        <v>0.7175328874746479</v>
      </c>
      <c r="L2077" t="b">
        <v>0</v>
      </c>
      <c r="M2077" t="b">
        <v>0</v>
      </c>
      <c r="N2077" t="inlineStr">
        <is>
          <t>ref</t>
        </is>
      </c>
      <c r="O2077" t="n">
        <v>-30</v>
      </c>
      <c r="P2077" t="n">
        <v>0.008699999999999999</v>
      </c>
      <c r="Q2077" t="n">
        <v>60</v>
      </c>
      <c r="R2077" t="n">
        <v>0.1028</v>
      </c>
      <c r="S2077">
        <f>IMAGE("https://mitra.stanford.edu/kundaje/oak/projects/neuro-variants/variant_position/credible/roussos_2024/variant_figures/roussos_2024.infant.GLU/rs1368889_count_position.png",4,220,900)</f>
        <v/>
      </c>
      <c r="T2077">
        <f>IMAGE("https://mitra.stanford.edu/kundaje/oak/projects/neuro-variants/variant_position/credible/roussos_2024/variant_figures/roussos_2024.infant.GLU/rs1368889_profile_position.png",4,220,900)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0.0613904424</v>
      </c>
      <c r="G2078" t="n">
        <v>0.139712955671194</v>
      </c>
      <c r="H2078" t="n">
        <v>0.0230419144462762</v>
      </c>
      <c r="I2078" t="n">
        <v>0.1322757757922974</v>
      </c>
      <c r="J2078" t="n">
        <v>0.0418296258735862</v>
      </c>
      <c r="K2078" t="n">
        <v>0.3878828469984569</v>
      </c>
      <c r="L2078" t="b">
        <v>0</v>
      </c>
      <c r="M2078" t="b">
        <v>0</v>
      </c>
      <c r="N2078" t="inlineStr">
        <is>
          <t>alt</t>
        </is>
      </c>
      <c r="O2078" t="n">
        <v>50</v>
      </c>
      <c r="P2078" t="n">
        <v>0.0292</v>
      </c>
      <c r="Q2078" t="n">
        <v>45</v>
      </c>
      <c r="R2078" t="n">
        <v>0.2844</v>
      </c>
      <c r="S2078">
        <f>IMAGE("https://mitra.stanford.edu/kundaje/oak/projects/neuro-variants/variant_position/credible/roussos_2024/variant_figures/roussos_2024.infant.GLU/rs4665386_count_position.png",4,220,900)</f>
        <v/>
      </c>
      <c r="T2078">
        <f>IMAGE("https://mitra.stanford.edu/kundaje/oak/projects/neuro-variants/variant_position/credible/roussos_2024/variant_figures/roussos_2024.infant.GLU/rs4665386_profile_position.png",4,220,900)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0.0059049608</v>
      </c>
      <c r="G2079" t="n">
        <v>0.1842618703327194</v>
      </c>
      <c r="H2079" t="n">
        <v>0.0240603301971355</v>
      </c>
      <c r="I2079" t="n">
        <v>0.1122811331800016</v>
      </c>
      <c r="J2079" t="n">
        <v>0.107101126568046</v>
      </c>
      <c r="K2079" t="n">
        <v>0.197132526384514</v>
      </c>
      <c r="L2079" t="b">
        <v>0</v>
      </c>
      <c r="M2079" t="b">
        <v>0</v>
      </c>
      <c r="N2079" t="inlineStr">
        <is>
          <t>alt</t>
        </is>
      </c>
      <c r="O2079" t="n">
        <v>25</v>
      </c>
      <c r="P2079" t="n">
        <v>0.04663</v>
      </c>
      <c r="Q2079" t="n">
        <v>-80</v>
      </c>
      <c r="R2079" t="n">
        <v>0.1079</v>
      </c>
      <c r="S2079">
        <f>IMAGE("https://mitra.stanford.edu/kundaje/oak/projects/neuro-variants/variant_position/credible/roussos_2024/variant_figures/roussos_2024.infant.GLU/rs4666013_count_position.png",4,220,900)</f>
        <v/>
      </c>
      <c r="T2079">
        <f>IMAGE("https://mitra.stanford.edu/kundaje/oak/projects/neuro-variants/variant_position/credible/roussos_2024/variant_figures/roussos_2024.infant.GLU/rs4666013_profile_position.png",4,220,900)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-0.0179577407</v>
      </c>
      <c r="G2080" t="n">
        <v>0.5036958511881102</v>
      </c>
      <c r="H2080" t="n">
        <v>0.0089690269191256</v>
      </c>
      <c r="I2080" t="n">
        <v>0.8239812001114183</v>
      </c>
      <c r="J2080" t="n">
        <v>0.1186930928812363</v>
      </c>
      <c r="K2080" t="n">
        <v>0.1816298458250316</v>
      </c>
      <c r="L2080" t="b">
        <v>0</v>
      </c>
      <c r="M2080" t="b">
        <v>0</v>
      </c>
      <c r="N2080" t="inlineStr">
        <is>
          <t>ref</t>
        </is>
      </c>
      <c r="O2080" t="n">
        <v>-85</v>
      </c>
      <c r="P2080" t="n">
        <v>0.0398</v>
      </c>
      <c r="Q2080" t="n">
        <v>95</v>
      </c>
      <c r="R2080" t="n">
        <v>0.06365999999999999</v>
      </c>
      <c r="S2080">
        <f>IMAGE("https://mitra.stanford.edu/kundaje/oak/projects/neuro-variants/variant_position/credible/roussos_2024/variant_figures/roussos_2024.infant.GLU/rs4666015_count_position.png",4,220,900)</f>
        <v/>
      </c>
      <c r="T2080">
        <f>IMAGE("https://mitra.stanford.edu/kundaje/oak/projects/neuro-variants/variant_position/credible/roussos_2024/variant_figures/roussos_2024.infant.GLU/rs4666015_profile_position.png",4,220,900)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-0.0065579406</v>
      </c>
      <c r="G2081" t="n">
        <v>0.3007687522260483</v>
      </c>
      <c r="H2081" t="n">
        <v>0.0098520402929247</v>
      </c>
      <c r="I2081" t="n">
        <v>0.7154155525905284</v>
      </c>
      <c r="J2081" t="n">
        <v>0.4073711942503141</v>
      </c>
      <c r="K2081" t="n">
        <v>0.0443598365582904</v>
      </c>
      <c r="L2081" t="b">
        <v>0</v>
      </c>
      <c r="M2081" t="b">
        <v>0</v>
      </c>
      <c r="N2081" t="inlineStr">
        <is>
          <t>ref</t>
        </is>
      </c>
      <c r="O2081" t="n">
        <v>-100</v>
      </c>
      <c r="P2081" t="n">
        <v>0.06809999999999999</v>
      </c>
      <c r="Q2081" t="n">
        <v>0</v>
      </c>
      <c r="R2081" t="n">
        <v>0</v>
      </c>
      <c r="S2081">
        <f>IMAGE("https://mitra.stanford.edu/kundaje/oak/projects/neuro-variants/variant_position/credible/roussos_2024/variant_figures/roussos_2024.infant.GLU/rs7570730_count_position.png",4,220,900)</f>
        <v/>
      </c>
      <c r="T2081">
        <f>IMAGE("https://mitra.stanford.edu/kundaje/oak/projects/neuro-variants/variant_position/credible/roussos_2024/variant_figures/roussos_2024.infant.GLU/rs7570730_profile_position.png",4,220,900)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-0.0366853636</v>
      </c>
      <c r="G2082" t="n">
        <v>0.2689876609898425</v>
      </c>
      <c r="H2082" t="n">
        <v>0.0113519858702318</v>
      </c>
      <c r="I2082" t="n">
        <v>0.5945838642973393</v>
      </c>
      <c r="J2082" t="n">
        <v>0.0498820520734583</v>
      </c>
      <c r="K2082" t="n">
        <v>0.3460965236367202</v>
      </c>
      <c r="L2082" t="b">
        <v>0</v>
      </c>
      <c r="M2082" t="b">
        <v>0</v>
      </c>
      <c r="N2082" t="inlineStr">
        <is>
          <t>ref</t>
        </is>
      </c>
      <c r="O2082" t="n">
        <v>-70</v>
      </c>
      <c r="P2082" t="n">
        <v>0.08636000000000001</v>
      </c>
      <c r="Q2082" t="n">
        <v>100</v>
      </c>
      <c r="R2082" t="n">
        <v>0.1564</v>
      </c>
      <c r="S2082">
        <f>IMAGE("https://mitra.stanford.edu/kundaje/oak/projects/neuro-variants/variant_position/credible/roussos_2024/variant_figures/roussos_2024.infant.GLU/rs11891769_count_position.png",4,220,900)</f>
        <v/>
      </c>
      <c r="T2082">
        <f>IMAGE("https://mitra.stanford.edu/kundaje/oak/projects/neuro-variants/variant_position/credible/roussos_2024/variant_figures/roussos_2024.infant.GLU/rs11891769_profile_position.png",4,220,900)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-0.0244449268</v>
      </c>
      <c r="G2083" t="n">
        <v>0.3545482200092806</v>
      </c>
      <c r="H2083" t="n">
        <v>0.0143350458119742</v>
      </c>
      <c r="I2083" t="n">
        <v>0.4005216238937116</v>
      </c>
      <c r="J2083" t="n">
        <v>0.0515322207279701</v>
      </c>
      <c r="K2083" t="n">
        <v>0.3351916042639219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0.0839</v>
      </c>
      <c r="Q2083" t="n">
        <v>100</v>
      </c>
      <c r="R2083" t="n">
        <v>0.0464</v>
      </c>
      <c r="S2083">
        <f>IMAGE("https://mitra.stanford.edu/kundaje/oak/projects/neuro-variants/variant_position/credible/roussos_2024/variant_figures/roussos_2024.infant.GLU/rs12986980_count_position.png",4,220,900)</f>
        <v/>
      </c>
      <c r="T2083">
        <f>IMAGE("https://mitra.stanford.edu/kundaje/oak/projects/neuro-variants/variant_position/credible/roussos_2024/variant_figures/roussos_2024.infant.GLU/rs12986980_profile_position.png",4,220,900)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-0.2010644119999999</v>
      </c>
      <c r="G2084" t="n">
        <v>0.0101393436575323</v>
      </c>
      <c r="H2084" t="n">
        <v>0.033177161548071</v>
      </c>
      <c r="I2084" t="n">
        <v>0.0410651151777409</v>
      </c>
      <c r="J2084" t="n">
        <v>0.1368350272272316</v>
      </c>
      <c r="K2084" t="n">
        <v>0.1563450694438927</v>
      </c>
      <c r="L2084" t="b">
        <v>1</v>
      </c>
      <c r="M2084" t="b">
        <v>0</v>
      </c>
      <c r="N2084" t="inlineStr">
        <is>
          <t>ref</t>
        </is>
      </c>
      <c r="O2084" t="n">
        <v>85</v>
      </c>
      <c r="P2084" t="n">
        <v>0.04037</v>
      </c>
      <c r="Q2084" t="n">
        <v>-40</v>
      </c>
      <c r="R2084" t="n">
        <v>0.03857</v>
      </c>
      <c r="S2084">
        <f>IMAGE("https://mitra.stanford.edu/kundaje/oak/projects/neuro-variants/variant_position/credible/roussos_2024/variant_figures/roussos_2024.infant.GLU/rs4233716_count_position.png",4,220,900)</f>
        <v/>
      </c>
      <c r="T2084">
        <f>IMAGE("https://mitra.stanford.edu/kundaje/oak/projects/neuro-variants/variant_position/credible/roussos_2024/variant_figures/roussos_2024.infant.GLU/rs4233716_profile_position.png",4,220,900)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0.0676377894</v>
      </c>
      <c r="G2085" t="n">
        <v>0.1046327917299029</v>
      </c>
      <c r="H2085" t="n">
        <v>0.0198827625370772</v>
      </c>
      <c r="I2085" t="n">
        <v>0.1908276353139466</v>
      </c>
      <c r="J2085" t="n">
        <v>0.0220287043365153</v>
      </c>
      <c r="K2085" t="n">
        <v>0.5151047088013785</v>
      </c>
      <c r="L2085" t="b">
        <v>0</v>
      </c>
      <c r="M2085" t="b">
        <v>0</v>
      </c>
      <c r="N2085" t="inlineStr">
        <is>
          <t>alt</t>
        </is>
      </c>
      <c r="O2085" t="n">
        <v>100</v>
      </c>
      <c r="P2085" t="n">
        <v>0.01375</v>
      </c>
      <c r="Q2085" t="n">
        <v>45</v>
      </c>
      <c r="R2085" t="n">
        <v>0.0454</v>
      </c>
      <c r="S2085">
        <f>IMAGE("https://mitra.stanford.edu/kundaje/oak/projects/neuro-variants/variant_position/credible/roussos_2024/variant_figures/roussos_2024.infant.GLU/rs12617171_count_position.png",4,220,900)</f>
        <v/>
      </c>
      <c r="T2085">
        <f>IMAGE("https://mitra.stanford.edu/kundaje/oak/projects/neuro-variants/variant_position/credible/roussos_2024/variant_figures/roussos_2024.infant.GLU/rs12617171_profile_position.png",4,220,900)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-0.0347521008</v>
      </c>
      <c r="G2086" t="n">
        <v>0.2752441374235102</v>
      </c>
      <c r="H2086" t="n">
        <v>0.0129838707384987</v>
      </c>
      <c r="I2086" t="n">
        <v>0.4842099337352333</v>
      </c>
      <c r="J2086" t="n">
        <v>0.0307160651689851</v>
      </c>
      <c r="K2086" t="n">
        <v>0.449141055089578</v>
      </c>
      <c r="L2086" t="b">
        <v>0</v>
      </c>
      <c r="M2086" t="b">
        <v>0</v>
      </c>
      <c r="N2086" t="inlineStr">
        <is>
          <t>ref</t>
        </is>
      </c>
      <c r="O2086" t="n">
        <v>30</v>
      </c>
      <c r="P2086" t="n">
        <v>0.003418</v>
      </c>
      <c r="Q2086" t="n">
        <v>-40</v>
      </c>
      <c r="R2086" t="n">
        <v>0.01111</v>
      </c>
      <c r="S2086">
        <f>IMAGE("https://mitra.stanford.edu/kundaje/oak/projects/neuro-variants/variant_position/credible/roussos_2024/variant_figures/roussos_2024.infant.GLU/rs12464988_count_position.png",4,220,900)</f>
        <v/>
      </c>
      <c r="T2086">
        <f>IMAGE("https://mitra.stanford.edu/kundaje/oak/projects/neuro-variants/variant_position/credible/roussos_2024/variant_figures/roussos_2024.infant.GLU/rs12464988_profile_position.png",4,220,900)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-0.1887868819999999</v>
      </c>
      <c r="G2087" t="n">
        <v>0.0122449509592526</v>
      </c>
      <c r="H2087" t="n">
        <v>0.0273692599095612</v>
      </c>
      <c r="I2087" t="n">
        <v>0.07882448013798531</v>
      </c>
      <c r="J2087" t="n">
        <v>0.3095317357084591</v>
      </c>
      <c r="K2087" t="n">
        <v>0.0654529815067883</v>
      </c>
      <c r="L2087" t="b">
        <v>1</v>
      </c>
      <c r="M2087" t="b">
        <v>0</v>
      </c>
      <c r="N2087" t="inlineStr">
        <is>
          <t>ref</t>
        </is>
      </c>
      <c r="O2087" t="n">
        <v>-40</v>
      </c>
      <c r="P2087" t="n">
        <v>0.006866</v>
      </c>
      <c r="Q2087" t="n">
        <v>50</v>
      </c>
      <c r="R2087" t="n">
        <v>0.0945</v>
      </c>
      <c r="S2087">
        <f>IMAGE("https://mitra.stanford.edu/kundaje/oak/projects/neuro-variants/variant_position/credible/roussos_2024/variant_figures/roussos_2024.infant.GLU/rs4233719_count_position.png",4,220,900)</f>
        <v/>
      </c>
      <c r="T2087">
        <f>IMAGE("https://mitra.stanford.edu/kundaje/oak/projects/neuro-variants/variant_position/credible/roussos_2024/variant_figures/roussos_2024.infant.GLU/rs4233719_profile_position.png",4,220,900)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0.309213858</v>
      </c>
      <c r="G2088" t="n">
        <v>0.0027579206008592</v>
      </c>
      <c r="H2088" t="n">
        <v>0.0415471551686476</v>
      </c>
      <c r="I2088" t="n">
        <v>0.0174555062491385</v>
      </c>
      <c r="J2088" t="n">
        <v>0.1211578738508344</v>
      </c>
      <c r="K2088" t="n">
        <v>0.1740085853221689</v>
      </c>
      <c r="L2088" t="b">
        <v>1</v>
      </c>
      <c r="M2088" t="b">
        <v>1</v>
      </c>
      <c r="N2088" t="inlineStr">
        <is>
          <t>alt</t>
        </is>
      </c>
      <c r="O2088" t="n">
        <v>-100</v>
      </c>
      <c r="P2088" t="n">
        <v>0.06370000000000001</v>
      </c>
      <c r="Q2088" t="n">
        <v>-100</v>
      </c>
      <c r="R2088" t="n">
        <v>0.04297</v>
      </c>
      <c r="S2088">
        <f>IMAGE("https://mitra.stanford.edu/kundaje/oak/projects/neuro-variants/variant_position/credible/roussos_2024/variant_figures/roussos_2024.infant.GLU/rs12466717_count_position.png",4,220,900)</f>
        <v/>
      </c>
      <c r="T2088">
        <f>IMAGE("https://mitra.stanford.edu/kundaje/oak/projects/neuro-variants/variant_position/credible/roussos_2024/variant_figures/roussos_2024.infant.GLU/rs12466717_profile_position.png",4,220,900)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-0.059449126</v>
      </c>
      <c r="G2089" t="n">
        <v>0.1346045788619445</v>
      </c>
      <c r="H2089" t="n">
        <v>0.0153560055478035</v>
      </c>
      <c r="I2089" t="n">
        <v>0.3506204793088645</v>
      </c>
      <c r="J2089" t="n">
        <v>0.1041380982825899</v>
      </c>
      <c r="K2089" t="n">
        <v>0.2013844981549742</v>
      </c>
      <c r="L2089" t="b">
        <v>0</v>
      </c>
      <c r="M2089" t="b">
        <v>0</v>
      </c>
      <c r="N2089" t="inlineStr">
        <is>
          <t>ref</t>
        </is>
      </c>
      <c r="O2089" t="n">
        <v>-100</v>
      </c>
      <c r="P2089" t="n">
        <v>0.01917</v>
      </c>
      <c r="Q2089" t="n">
        <v>-100</v>
      </c>
      <c r="R2089" t="n">
        <v>0.2734</v>
      </c>
      <c r="S2089">
        <f>IMAGE("https://mitra.stanford.edu/kundaje/oak/projects/neuro-variants/variant_position/credible/roussos_2024/variant_figures/roussos_2024.infant.GLU/rs6547814_count_position.png",4,220,900)</f>
        <v/>
      </c>
      <c r="T2089">
        <f>IMAGE("https://mitra.stanford.edu/kundaje/oak/projects/neuro-variants/variant_position/credible/roussos_2024/variant_figures/roussos_2024.infant.GLU/rs6547814_profile_position.png",4,220,900)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-0.14277561</v>
      </c>
      <c r="G2090" t="n">
        <v>0.0248367093130822</v>
      </c>
      <c r="H2090" t="n">
        <v>0.0291910459232826</v>
      </c>
      <c r="I2090" t="n">
        <v>0.0636631176216918</v>
      </c>
      <c r="J2090" t="n">
        <v>0.2655393637425868</v>
      </c>
      <c r="K2090" t="n">
        <v>0.0786796820761477</v>
      </c>
      <c r="L2090" t="b">
        <v>0</v>
      </c>
      <c r="M2090" t="b">
        <v>0</v>
      </c>
      <c r="N2090" t="inlineStr">
        <is>
          <t>ref</t>
        </is>
      </c>
      <c r="O2090" t="n">
        <v>20</v>
      </c>
      <c r="P2090" t="n">
        <v>0.005203</v>
      </c>
      <c r="Q2090" t="n">
        <v>30</v>
      </c>
      <c r="R2090" t="n">
        <v>0.2295</v>
      </c>
      <c r="S2090">
        <f>IMAGE("https://mitra.stanford.edu/kundaje/oak/projects/neuro-variants/variant_position/credible/roussos_2024/variant_figures/roussos_2024.infant.GLU/rs10177845_count_position.png",4,220,900)</f>
        <v/>
      </c>
      <c r="T2090">
        <f>IMAGE("https://mitra.stanford.edu/kundaje/oak/projects/neuro-variants/variant_position/credible/roussos_2024/variant_figures/roussos_2024.infant.GLU/rs10177845_profile_position.png",4,220,900)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-0.0001696786099999</v>
      </c>
      <c r="G2091" t="n">
        <v>0.9404329504200311</v>
      </c>
      <c r="H2091" t="n">
        <v>0.0346389565000899</v>
      </c>
      <c r="I2091" t="n">
        <v>0.0353954400704197</v>
      </c>
      <c r="J2091" t="n">
        <v>0.008254150223770299</v>
      </c>
      <c r="K2091" t="n">
        <v>0.7079883678810559</v>
      </c>
      <c r="L2091" t="b">
        <v>0</v>
      </c>
      <c r="M2091" t="b">
        <v>0</v>
      </c>
      <c r="N2091" t="inlineStr">
        <is>
          <t>ref</t>
        </is>
      </c>
      <c r="O2091" t="n">
        <v>15</v>
      </c>
      <c r="P2091" t="n">
        <v>0.003372</v>
      </c>
      <c r="Q2091" t="n">
        <v>100</v>
      </c>
      <c r="R2091" t="n">
        <v>0.07764</v>
      </c>
      <c r="S2091">
        <f>IMAGE("https://mitra.stanford.edu/kundaje/oak/projects/neuro-variants/variant_position/credible/roussos_2024/variant_figures/roussos_2024.infant.GLU/rs1458396_count_position.png",4,220,900)</f>
        <v/>
      </c>
      <c r="T2091">
        <f>IMAGE("https://mitra.stanford.edu/kundaje/oak/projects/neuro-variants/variant_position/credible/roussos_2024/variant_figures/roussos_2024.infant.GLU/rs1458396_profile_position.png",4,220,900)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-0.0336737054</v>
      </c>
      <c r="G2092" t="n">
        <v>0.2866800860689392</v>
      </c>
      <c r="H2092" t="n">
        <v>0.0599875052529441</v>
      </c>
      <c r="I2092" t="n">
        <v>0.003113433452231</v>
      </c>
      <c r="J2092" t="n">
        <v>0.0015586763376617</v>
      </c>
      <c r="K2092" t="n">
        <v>0.8565288568627542</v>
      </c>
      <c r="L2092" t="b">
        <v>0</v>
      </c>
      <c r="M2092" t="b">
        <v>0</v>
      </c>
      <c r="N2092" t="inlineStr">
        <is>
          <t>ref</t>
        </is>
      </c>
      <c r="O2092" t="n">
        <v>100</v>
      </c>
      <c r="P2092" t="n">
        <v>0.008019999999999999</v>
      </c>
      <c r="Q2092" t="n">
        <v>-15</v>
      </c>
      <c r="R2092" t="n">
        <v>0.03748</v>
      </c>
      <c r="S2092">
        <f>IMAGE("https://mitra.stanford.edu/kundaje/oak/projects/neuro-variants/variant_position/credible/roussos_2024/variant_figures/roussos_2024.infant.GLU/rs13012050_count_position.png",4,220,900)</f>
        <v/>
      </c>
      <c r="T2092">
        <f>IMAGE("https://mitra.stanford.edu/kundaje/oak/projects/neuro-variants/variant_position/credible/roussos_2024/variant_figures/roussos_2024.infant.GLU/rs13012050_profile_position.png",4,220,900)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0.0448636298</v>
      </c>
      <c r="G2093" t="n">
        <v>0.1954400707220615</v>
      </c>
      <c r="H2093" t="n">
        <v>0.009171826222129699</v>
      </c>
      <c r="I2093" t="n">
        <v>0.788476237694208</v>
      </c>
      <c r="J2093" t="n">
        <v>0.0344055204038889</v>
      </c>
      <c r="K2093" t="n">
        <v>0.4226240026558817</v>
      </c>
      <c r="L2093" t="b">
        <v>0</v>
      </c>
      <c r="M2093" t="b">
        <v>0</v>
      </c>
      <c r="N2093" t="inlineStr">
        <is>
          <t>alt</t>
        </is>
      </c>
      <c r="O2093" t="n">
        <v>90</v>
      </c>
      <c r="P2093" t="n">
        <v>0.1819</v>
      </c>
      <c r="Q2093" t="n">
        <v>-65</v>
      </c>
      <c r="R2093" t="n">
        <v>0.01459</v>
      </c>
      <c r="S2093">
        <f>IMAGE("https://mitra.stanford.edu/kundaje/oak/projects/neuro-variants/variant_position/credible/roussos_2024/variant_figures/roussos_2024.infant.GLU/rs10184052_count_position.png",4,220,900)</f>
        <v/>
      </c>
      <c r="T2093">
        <f>IMAGE("https://mitra.stanford.edu/kundaje/oak/projects/neuro-variants/variant_position/credible/roussos_2024/variant_figures/roussos_2024.infant.GLU/rs10184052_profile_position.png",4,220,900)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-0.0489331512</v>
      </c>
      <c r="G2094" t="n">
        <v>0.1847985066258686</v>
      </c>
      <c r="H2094" t="n">
        <v>0.0109768768958924</v>
      </c>
      <c r="I2094" t="n">
        <v>0.6188733062057526</v>
      </c>
      <c r="J2094" t="n">
        <v>0.0263619127405806</v>
      </c>
      <c r="K2094" t="n">
        <v>0.5079095248118727</v>
      </c>
      <c r="L2094" t="b">
        <v>0</v>
      </c>
      <c r="M2094" t="b">
        <v>0</v>
      </c>
      <c r="N2094" t="inlineStr">
        <is>
          <t>ref</t>
        </is>
      </c>
      <c r="O2094" t="n">
        <v>25</v>
      </c>
      <c r="P2094" t="n">
        <v>0.006546</v>
      </c>
      <c r="Q2094" t="n">
        <v>-85</v>
      </c>
      <c r="R2094" t="n">
        <v>0.0852</v>
      </c>
      <c r="S2094">
        <f>IMAGE("https://mitra.stanford.edu/kundaje/oak/projects/neuro-variants/variant_position/credible/roussos_2024/variant_figures/roussos_2024.infant.GLU/rs4616436_count_position.png",4,220,900)</f>
        <v/>
      </c>
      <c r="T2094">
        <f>IMAGE("https://mitra.stanford.edu/kundaje/oak/projects/neuro-variants/variant_position/credible/roussos_2024/variant_figures/roussos_2024.infant.GLU/rs4616436_profile_position.png",4,220,900)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-0.03047058</v>
      </c>
      <c r="G2095" t="n">
        <v>0.3159378932569249</v>
      </c>
      <c r="H2095" t="n">
        <v>0.0101438760674966</v>
      </c>
      <c r="I2095" t="n">
        <v>0.7285565195961293</v>
      </c>
      <c r="J2095" t="n">
        <v>0.0425450296523291</v>
      </c>
      <c r="K2095" t="n">
        <v>0.3908673573436165</v>
      </c>
      <c r="L2095" t="b">
        <v>0</v>
      </c>
      <c r="M2095" t="b">
        <v>0</v>
      </c>
      <c r="N2095" t="inlineStr">
        <is>
          <t>ref</t>
        </is>
      </c>
      <c r="O2095" t="n">
        <v>80</v>
      </c>
      <c r="P2095" t="n">
        <v>0.005455</v>
      </c>
      <c r="Q2095" t="n">
        <v>0</v>
      </c>
      <c r="R2095" t="n">
        <v>0</v>
      </c>
      <c r="S2095">
        <f>IMAGE("https://mitra.stanford.edu/kundaje/oak/projects/neuro-variants/variant_position/credible/roussos_2024/variant_figures/roussos_2024.infant.GLU/rs6712162_count_position.png",4,220,900)</f>
        <v/>
      </c>
      <c r="T2095">
        <f>IMAGE("https://mitra.stanford.edu/kundaje/oak/projects/neuro-variants/variant_position/credible/roussos_2024/variant_figures/roussos_2024.infant.GLU/rs6712162_profile_position.png",4,220,900)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-0.0207179467199999</v>
      </c>
      <c r="G2096" t="n">
        <v>0.4542676641039919</v>
      </c>
      <c r="H2096" t="n">
        <v>0.0145846576777924</v>
      </c>
      <c r="I2096" t="n">
        <v>0.3895016124469015</v>
      </c>
      <c r="J2096" t="n">
        <v>0.2400119050243612</v>
      </c>
      <c r="K2096" t="n">
        <v>0.08809398244789141</v>
      </c>
      <c r="L2096" t="b">
        <v>0</v>
      </c>
      <c r="M2096" t="b">
        <v>0</v>
      </c>
      <c r="N2096" t="inlineStr">
        <is>
          <t>ref</t>
        </is>
      </c>
      <c r="O2096" t="n">
        <v>40</v>
      </c>
      <c r="P2096" t="n">
        <v>0.002785</v>
      </c>
      <c r="Q2096" t="n">
        <v>100</v>
      </c>
      <c r="R2096" t="n">
        <v>0.4019</v>
      </c>
      <c r="S2096">
        <f>IMAGE("https://mitra.stanford.edu/kundaje/oak/projects/neuro-variants/variant_position/credible/roussos_2024/variant_figures/roussos_2024.infant.GLU/rs1123648_count_position.png",4,220,900)</f>
        <v/>
      </c>
      <c r="T2096">
        <f>IMAGE("https://mitra.stanford.edu/kundaje/oak/projects/neuro-variants/variant_position/credible/roussos_2024/variant_figures/roussos_2024.infant.GLU/rs1123648_profile_position.png",4,220,900)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-0.018575946614</v>
      </c>
      <c r="G2097" t="n">
        <v>0.4817249044232875</v>
      </c>
      <c r="H2097" t="n">
        <v>0.0094354877272515</v>
      </c>
      <c r="I2097" t="n">
        <v>0.7693301053095483</v>
      </c>
      <c r="J2097" t="n">
        <v>0.0488172137833726</v>
      </c>
      <c r="K2097" t="n">
        <v>0.3428648589196098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0.05063</v>
      </c>
      <c r="Q2097" t="n">
        <v>90</v>
      </c>
      <c r="R2097" t="n">
        <v>0.1017</v>
      </c>
      <c r="S2097">
        <f>IMAGE("https://mitra.stanford.edu/kundaje/oak/projects/neuro-variants/variant_position/credible/roussos_2024/variant_figures/roussos_2024.infant.GLU/rs6753260_count_position.png",4,220,900)</f>
        <v/>
      </c>
      <c r="T2097">
        <f>IMAGE("https://mitra.stanford.edu/kundaje/oak/projects/neuro-variants/variant_position/credible/roussos_2024/variant_figures/roussos_2024.infant.GLU/rs6753260_profile_position.png",4,220,900)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-0.00429880034</v>
      </c>
      <c r="G2098" t="n">
        <v>0.7310226970926899</v>
      </c>
      <c r="H2098" t="n">
        <v>0.043020361739493</v>
      </c>
      <c r="I2098" t="n">
        <v>0.014862032040178</v>
      </c>
      <c r="J2098" t="n">
        <v>0.2649992283780506</v>
      </c>
      <c r="K2098" t="n">
        <v>0.0792555375548708</v>
      </c>
      <c r="L2098" t="b">
        <v>1</v>
      </c>
      <c r="M2098" t="b">
        <v>0</v>
      </c>
      <c r="N2098" t="inlineStr">
        <is>
          <t>ref</t>
        </is>
      </c>
      <c r="O2098" t="n">
        <v>-10</v>
      </c>
      <c r="P2098" t="n">
        <v>0.0007324</v>
      </c>
      <c r="Q2098" t="n">
        <v>-45</v>
      </c>
      <c r="R2098" t="n">
        <v>0.04584</v>
      </c>
      <c r="S2098">
        <f>IMAGE("https://mitra.stanford.edu/kundaje/oak/projects/neuro-variants/variant_position/credible/roussos_2024/variant_figures/roussos_2024.infant.GLU/rs17020136_count_position.png",4,220,900)</f>
        <v/>
      </c>
      <c r="T2098">
        <f>IMAGE("https://mitra.stanford.edu/kundaje/oak/projects/neuro-variants/variant_position/credible/roussos_2024/variant_figures/roussos_2024.infant.GLU/rs17020136_profile_position.png",4,220,900)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-0.0170835935</v>
      </c>
      <c r="G2099" t="n">
        <v>0.4987214041533366</v>
      </c>
      <c r="H2099" t="n">
        <v>0.0139315518679823</v>
      </c>
      <c r="I2099" t="n">
        <v>0.4209781849004399</v>
      </c>
      <c r="J2099" t="n">
        <v>0.0025187945060516</v>
      </c>
      <c r="K2099" t="n">
        <v>0.8180959878989781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0.07190000000000001</v>
      </c>
      <c r="Q2099" t="n">
        <v>-75</v>
      </c>
      <c r="R2099" t="n">
        <v>0.03607</v>
      </c>
      <c r="S2099">
        <f>IMAGE("https://mitra.stanford.edu/kundaje/oak/projects/neuro-variants/variant_position/credible/roussos_2024/variant_figures/roussos_2024.infant.GLU/rs28463756_count_position.png",4,220,900)</f>
        <v/>
      </c>
      <c r="T2099">
        <f>IMAGE("https://mitra.stanford.edu/kundaje/oak/projects/neuro-variants/variant_position/credible/roussos_2024/variant_figures/roussos_2024.infant.GLU/rs28463756_profile_position.png",4,220,900)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0.1270718539999999</v>
      </c>
      <c r="G2100" t="n">
        <v>0.0298012714610875</v>
      </c>
      <c r="H2100" t="n">
        <v>0.0196884059914664</v>
      </c>
      <c r="I2100" t="n">
        <v>0.1956834029467377</v>
      </c>
      <c r="J2100" t="n">
        <v>0.2468330430565047</v>
      </c>
      <c r="K2100" t="n">
        <v>0.0855392422340172</v>
      </c>
      <c r="L2100" t="b">
        <v>0</v>
      </c>
      <c r="M2100" t="b">
        <v>0</v>
      </c>
      <c r="N2100" t="inlineStr">
        <is>
          <t>alt</t>
        </is>
      </c>
      <c r="O2100" t="n">
        <v>80</v>
      </c>
      <c r="P2100" t="n">
        <v>0.008484</v>
      </c>
      <c r="Q2100" t="n">
        <v>95</v>
      </c>
      <c r="R2100" t="n">
        <v>0.1652</v>
      </c>
      <c r="S2100">
        <f>IMAGE("https://mitra.stanford.edu/kundaje/oak/projects/neuro-variants/variant_position/credible/roussos_2024/variant_figures/roussos_2024.infant.GLU/rs4374352_count_position.png",4,220,900)</f>
        <v/>
      </c>
      <c r="T2100">
        <f>IMAGE("https://mitra.stanford.edu/kundaje/oak/projects/neuro-variants/variant_position/credible/roussos_2024/variant_figures/roussos_2024.infant.GLU/rs4374352_profile_position.png",4,220,900)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-0.0295617976</v>
      </c>
      <c r="G2101" t="n">
        <v>0.3295684810663545</v>
      </c>
      <c r="H2101" t="n">
        <v>0.0100718941170486</v>
      </c>
      <c r="I2101" t="n">
        <v>0.7262519907782002</v>
      </c>
      <c r="J2101" t="n">
        <v>0.0734694327476354</v>
      </c>
      <c r="K2101" t="n">
        <v>0.2654729725961643</v>
      </c>
      <c r="L2101" t="b">
        <v>0</v>
      </c>
      <c r="M2101" t="b">
        <v>0</v>
      </c>
      <c r="N2101" t="inlineStr">
        <is>
          <t>ref</t>
        </is>
      </c>
      <c r="O2101" t="n">
        <v>20</v>
      </c>
      <c r="P2101" t="n">
        <v>0.003727</v>
      </c>
      <c r="Q2101" t="n">
        <v>-90</v>
      </c>
      <c r="R2101" t="n">
        <v>0.1647</v>
      </c>
      <c r="S2101">
        <f>IMAGE("https://mitra.stanford.edu/kundaje/oak/projects/neuro-variants/variant_position/credible/roussos_2024/variant_figures/roussos_2024.infant.GLU/rs6750763_count_position.png",4,220,900)</f>
        <v/>
      </c>
      <c r="T2101">
        <f>IMAGE("https://mitra.stanford.edu/kundaje/oak/projects/neuro-variants/variant_position/credible/roussos_2024/variant_figures/roussos_2024.infant.GLU/rs6750763_profile_position.png",4,220,900)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0.02020865898</v>
      </c>
      <c r="G2102" t="n">
        <v>0.4596434317036322</v>
      </c>
      <c r="H2102" t="n">
        <v>0.0390282977790264</v>
      </c>
      <c r="I2102" t="n">
        <v>0.0223400636952689</v>
      </c>
      <c r="J2102" t="n">
        <v>0.0336570471130315</v>
      </c>
      <c r="K2102" t="n">
        <v>0.4366730913872138</v>
      </c>
      <c r="L2102" t="b">
        <v>0</v>
      </c>
      <c r="M2102" t="b">
        <v>0</v>
      </c>
      <c r="N2102" t="inlineStr">
        <is>
          <t>alt</t>
        </is>
      </c>
      <c r="O2102" t="n">
        <v>-15</v>
      </c>
      <c r="P2102" t="n">
        <v>0.010254</v>
      </c>
      <c r="Q2102" t="n">
        <v>-60</v>
      </c>
      <c r="R2102" t="n">
        <v>0.0417</v>
      </c>
      <c r="S2102">
        <f>IMAGE("https://mitra.stanford.edu/kundaje/oak/projects/neuro-variants/variant_position/credible/roussos_2024/variant_figures/roussos_2024.infant.GLU/rs11124565_count_position.png",4,220,900)</f>
        <v/>
      </c>
      <c r="T2102">
        <f>IMAGE("https://mitra.stanford.edu/kundaje/oak/projects/neuro-variants/variant_position/credible/roussos_2024/variant_figures/roussos_2024.infant.GLU/rs11124565_profile_position.png",4,220,900)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0.00195177924</v>
      </c>
      <c r="G2103" t="n">
        <v>0.7602957365290894</v>
      </c>
      <c r="H2103" t="n">
        <v>0.0341393717256063</v>
      </c>
      <c r="I2103" t="n">
        <v>0.0370101797251804</v>
      </c>
      <c r="J2103" t="n">
        <v>0.0530115302365572</v>
      </c>
      <c r="K2103" t="n">
        <v>0.3383636441886708</v>
      </c>
      <c r="L2103" t="b">
        <v>0</v>
      </c>
      <c r="M2103" t="b">
        <v>0</v>
      </c>
      <c r="N2103" t="inlineStr">
        <is>
          <t>alt</t>
        </is>
      </c>
      <c r="O2103" t="n">
        <v>85</v>
      </c>
      <c r="P2103" t="n">
        <v>0.1117</v>
      </c>
      <c r="Q2103" t="n">
        <v>-90</v>
      </c>
      <c r="R2103" t="n">
        <v>0.08459999999999999</v>
      </c>
      <c r="S2103">
        <f>IMAGE("https://mitra.stanford.edu/kundaje/oak/projects/neuro-variants/variant_position/credible/roussos_2024/variant_figures/roussos_2024.infant.GLU/rs4670673_count_position.png",4,220,900)</f>
        <v/>
      </c>
      <c r="T2103">
        <f>IMAGE("https://mitra.stanford.edu/kundaje/oak/projects/neuro-variants/variant_position/credible/roussos_2024/variant_figures/roussos_2024.infant.GLU/rs4670673_profile_position.png",4,220,900)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0.0213466426</v>
      </c>
      <c r="G2104" t="n">
        <v>0.3649263455984475</v>
      </c>
      <c r="H2104" t="n">
        <v>0.0103962535772945</v>
      </c>
      <c r="I2104" t="n">
        <v>0.7014559037819816</v>
      </c>
      <c r="J2104" t="n">
        <v>0.0561917149848982</v>
      </c>
      <c r="K2104" t="n">
        <v>0.3255511746281057</v>
      </c>
      <c r="L2104" t="b">
        <v>0</v>
      </c>
      <c r="M2104" t="b">
        <v>0</v>
      </c>
      <c r="N2104" t="inlineStr">
        <is>
          <t>alt</t>
        </is>
      </c>
      <c r="O2104" t="n">
        <v>-80</v>
      </c>
      <c r="P2104" t="n">
        <v>0.07385</v>
      </c>
      <c r="Q2104" t="n">
        <v>-95</v>
      </c>
      <c r="R2104" t="n">
        <v>0.06714000000000001</v>
      </c>
      <c r="S2104">
        <f>IMAGE("https://mitra.stanford.edu/kundaje/oak/projects/neuro-variants/variant_position/credible/roussos_2024/variant_figures/roussos_2024.infant.GLU/rs2287093_count_position.png",4,220,900)</f>
        <v/>
      </c>
      <c r="T2104">
        <f>IMAGE("https://mitra.stanford.edu/kundaje/oak/projects/neuro-variants/variant_position/credible/roussos_2024/variant_figures/roussos_2024.infant.GLU/rs2287093_profile_position.png",4,220,900)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0.0315313212</v>
      </c>
      <c r="G2105" t="n">
        <v>0.2972332483056077</v>
      </c>
      <c r="H2105" t="n">
        <v>0.0088995367225417</v>
      </c>
      <c r="I2105" t="n">
        <v>0.7913575988448619</v>
      </c>
      <c r="J2105" t="n">
        <v>0.1997894574395378</v>
      </c>
      <c r="K2105" t="n">
        <v>0.1111719887668915</v>
      </c>
      <c r="L2105" t="b">
        <v>0</v>
      </c>
      <c r="M2105" t="b">
        <v>0</v>
      </c>
      <c r="N2105" t="inlineStr">
        <is>
          <t>alt</t>
        </is>
      </c>
      <c r="O2105" t="n">
        <v>100</v>
      </c>
      <c r="P2105" t="n">
        <v>0.0822</v>
      </c>
      <c r="Q2105" t="n">
        <v>-100</v>
      </c>
      <c r="R2105" t="n">
        <v>0.0536</v>
      </c>
      <c r="S2105">
        <f>IMAGE("https://mitra.stanford.edu/kundaje/oak/projects/neuro-variants/variant_position/credible/roussos_2024/variant_figures/roussos_2024.infant.GLU/rs10182759_count_position.png",4,220,900)</f>
        <v/>
      </c>
      <c r="T2105">
        <f>IMAGE("https://mitra.stanford.edu/kundaje/oak/projects/neuro-variants/variant_position/credible/roussos_2024/variant_figures/roussos_2024.infant.GLU/rs10182759_profile_position.png",4,220,900)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0.0432868098</v>
      </c>
      <c r="G2106" t="n">
        <v>0.2087989111563837</v>
      </c>
      <c r="H2106" t="n">
        <v>0.0279984019232668</v>
      </c>
      <c r="I2106" t="n">
        <v>0.0719289365192668</v>
      </c>
      <c r="J2106" t="n">
        <v>0.3179622566635066</v>
      </c>
      <c r="K2106" t="n">
        <v>0.0628720895533873</v>
      </c>
      <c r="L2106" t="b">
        <v>0</v>
      </c>
      <c r="M2106" t="b">
        <v>0</v>
      </c>
      <c r="N2106" t="inlineStr">
        <is>
          <t>alt</t>
        </is>
      </c>
      <c r="O2106" t="n">
        <v>-80</v>
      </c>
      <c r="P2106" t="n">
        <v>0.06122</v>
      </c>
      <c r="Q2106" t="n">
        <v>-40</v>
      </c>
      <c r="R2106" t="n">
        <v>0.08690000000000001</v>
      </c>
      <c r="S2106">
        <f>IMAGE("https://mitra.stanford.edu/kundaje/oak/projects/neuro-variants/variant_position/credible/roussos_2024/variant_figures/roussos_2024.infant.GLU/rs2041836_count_position.png",4,220,900)</f>
        <v/>
      </c>
      <c r="T2106">
        <f>IMAGE("https://mitra.stanford.edu/kundaje/oak/projects/neuro-variants/variant_position/credible/roussos_2024/variant_figures/roussos_2024.infant.GLU/rs2041836_profile_position.png",4,220,900)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-0.0525748758</v>
      </c>
      <c r="G2107" t="n">
        <v>0.1649039409706252</v>
      </c>
      <c r="H2107" t="n">
        <v>0.0115217211406865</v>
      </c>
      <c r="I2107" t="n">
        <v>0.6002183270122817</v>
      </c>
      <c r="J2107" t="n">
        <v>0.0504166758526422</v>
      </c>
      <c r="K2107" t="n">
        <v>0.3447609760860846</v>
      </c>
      <c r="L2107" t="b">
        <v>0</v>
      </c>
      <c r="M2107" t="b">
        <v>0</v>
      </c>
      <c r="N2107" t="inlineStr">
        <is>
          <t>ref</t>
        </is>
      </c>
      <c r="O2107" t="n">
        <v>100</v>
      </c>
      <c r="P2107" t="n">
        <v>0.02542</v>
      </c>
      <c r="Q2107" t="n">
        <v>95</v>
      </c>
      <c r="R2107" t="n">
        <v>0.05463</v>
      </c>
      <c r="S2107">
        <f>IMAGE("https://mitra.stanford.edu/kundaje/oak/projects/neuro-variants/variant_position/credible/roussos_2024/variant_figures/roussos_2024.infant.GLU/rs11682607_count_position.png",4,220,900)</f>
        <v/>
      </c>
      <c r="T2107">
        <f>IMAGE("https://mitra.stanford.edu/kundaje/oak/projects/neuro-variants/variant_position/credible/roussos_2024/variant_figures/roussos_2024.infant.GLU/rs11682607_profile_position.png",4,220,900)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-0.00901894648</v>
      </c>
      <c r="G2108" t="n">
        <v>0.6213089134130119</v>
      </c>
      <c r="H2108" t="n">
        <v>0.0430927608902581</v>
      </c>
      <c r="I2108" t="n">
        <v>0.014848056618344</v>
      </c>
      <c r="J2108" t="n">
        <v>0.0249851187195484</v>
      </c>
      <c r="K2108" t="n">
        <v>0.4908510684959091</v>
      </c>
      <c r="L2108" t="b">
        <v>1</v>
      </c>
      <c r="M2108" t="b">
        <v>0</v>
      </c>
      <c r="N2108" t="inlineStr">
        <is>
          <t>ref</t>
        </is>
      </c>
      <c r="O2108" t="n">
        <v>-15</v>
      </c>
      <c r="P2108" t="n">
        <v>0.005447</v>
      </c>
      <c r="Q2108" t="n">
        <v>-65</v>
      </c>
      <c r="R2108" t="n">
        <v>0.144</v>
      </c>
      <c r="S2108">
        <f>IMAGE("https://mitra.stanford.edu/kundaje/oak/projects/neuro-variants/variant_position/credible/roussos_2024/variant_figures/roussos_2024.infant.GLU/rs11693917_count_position.png",4,220,900)</f>
        <v/>
      </c>
      <c r="T2108">
        <f>IMAGE("https://mitra.stanford.edu/kundaje/oak/projects/neuro-variants/variant_position/credible/roussos_2024/variant_figures/roussos_2024.infant.GLU/rs11693917_profile_position.png",4,220,900)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-0.0405215353999999</v>
      </c>
      <c r="G2109" t="n">
        <v>0.2333374099385937</v>
      </c>
      <c r="H2109" t="n">
        <v>0.0568399917699053</v>
      </c>
      <c r="I2109" t="n">
        <v>0.0040684054101566</v>
      </c>
      <c r="J2109" t="n">
        <v>0.1066833483983333</v>
      </c>
      <c r="K2109" t="n">
        <v>0.1962027225171537</v>
      </c>
      <c r="L2109" t="b">
        <v>1</v>
      </c>
      <c r="M2109" t="b">
        <v>1</v>
      </c>
      <c r="N2109" t="inlineStr">
        <is>
          <t>ref</t>
        </is>
      </c>
      <c r="O2109" t="n">
        <v>80</v>
      </c>
      <c r="P2109" t="n">
        <v>0.06759999999999999</v>
      </c>
      <c r="Q2109" t="n">
        <v>-45</v>
      </c>
      <c r="R2109" t="n">
        <v>0.11005</v>
      </c>
      <c r="S2109">
        <f>IMAGE("https://mitra.stanford.edu/kundaje/oak/projects/neuro-variants/variant_position/credible/roussos_2024/variant_figures/roussos_2024.infant.GLU/rs74177070_count_position.png",4,220,900)</f>
        <v/>
      </c>
      <c r="T2109">
        <f>IMAGE("https://mitra.stanford.edu/kundaje/oak/projects/neuro-variants/variant_position/credible/roussos_2024/variant_figures/roussos_2024.infant.GLU/rs74177070_profile_position.png",4,220,900)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0.0161449038</v>
      </c>
      <c r="G2110" t="n">
        <v>0.4973466667950664</v>
      </c>
      <c r="H2110" t="n">
        <v>0.0337713175945158</v>
      </c>
      <c r="I2110" t="n">
        <v>0.0386020313285149</v>
      </c>
      <c r="J2110" t="n">
        <v>0.0026863467007649</v>
      </c>
      <c r="K2110" t="n">
        <v>0.8535445658187107</v>
      </c>
      <c r="L2110" t="b">
        <v>0</v>
      </c>
      <c r="M2110" t="b">
        <v>0</v>
      </c>
      <c r="N2110" t="inlineStr">
        <is>
          <t>alt</t>
        </is>
      </c>
      <c r="O2110" t="n">
        <v>95</v>
      </c>
      <c r="P2110" t="n">
        <v>0.002422</v>
      </c>
      <c r="Q2110" t="n">
        <v>-35</v>
      </c>
      <c r="R2110" t="n">
        <v>0.06024</v>
      </c>
      <c r="S2110">
        <f>IMAGE("https://mitra.stanford.edu/kundaje/oak/projects/neuro-variants/variant_position/credible/roussos_2024/variant_figures/roussos_2024.infant.GLU/rs67986063_count_position.png",4,220,900)</f>
        <v/>
      </c>
      <c r="T2110">
        <f>IMAGE("https://mitra.stanford.edu/kundaje/oak/projects/neuro-variants/variant_position/credible/roussos_2024/variant_figures/roussos_2024.infant.GLU/rs67986063_profile_position.png",4,220,900)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0.0273777253999999</v>
      </c>
      <c r="G2111" t="n">
        <v>0.3398300881235951</v>
      </c>
      <c r="H2111" t="n">
        <v>0.0105806973167569</v>
      </c>
      <c r="I2111" t="n">
        <v>0.6766521414464363</v>
      </c>
      <c r="J2111" t="n">
        <v>0.0385414140523379</v>
      </c>
      <c r="K2111" t="n">
        <v>0.3994649812058807</v>
      </c>
      <c r="L2111" t="b">
        <v>0</v>
      </c>
      <c r="M2111" t="b">
        <v>0</v>
      </c>
      <c r="N2111" t="inlineStr">
        <is>
          <t>alt</t>
        </is>
      </c>
      <c r="O2111" t="n">
        <v>-5</v>
      </c>
      <c r="P2111" t="n">
        <v>0.0108</v>
      </c>
      <c r="Q2111" t="n">
        <v>30</v>
      </c>
      <c r="R2111" t="n">
        <v>0.01904</v>
      </c>
      <c r="S2111">
        <f>IMAGE("https://mitra.stanford.edu/kundaje/oak/projects/neuro-variants/variant_position/credible/roussos_2024/variant_figures/roussos_2024.infant.GLU/rs17504263_count_position.png",4,220,900)</f>
        <v/>
      </c>
      <c r="T2111">
        <f>IMAGE("https://mitra.stanford.edu/kundaje/oak/projects/neuro-variants/variant_position/credible/roussos_2024/variant_figures/roussos_2024.infant.GLU/rs17504263_profile_position.png",4,220,900)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-0.01004807584</v>
      </c>
      <c r="G2112" t="n">
        <v>0.6376743482981723</v>
      </c>
      <c r="H2112" t="n">
        <v>0.0343342849157631</v>
      </c>
      <c r="I2112" t="n">
        <v>0.0363061405122865</v>
      </c>
      <c r="J2112" t="n">
        <v>0.0335390991864899</v>
      </c>
      <c r="K2112" t="n">
        <v>0.4388722061441132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0.0896</v>
      </c>
      <c r="Q2112" t="n">
        <v>-100</v>
      </c>
      <c r="R2112" t="n">
        <v>0.363</v>
      </c>
      <c r="S2112">
        <f>IMAGE("https://mitra.stanford.edu/kundaje/oak/projects/neuro-variants/variant_position/credible/roussos_2024/variant_figures/roussos_2024.infant.GLU/rs17041068_count_position.png",4,220,900)</f>
        <v/>
      </c>
      <c r="T2112">
        <f>IMAGE("https://mitra.stanford.edu/kundaje/oak/projects/neuro-variants/variant_position/credible/roussos_2024/variant_figures/roussos_2024.infant.GLU/rs17041068_profile_position.png",4,220,900)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-0.08046861279999989</v>
      </c>
      <c r="G2113" t="n">
        <v>0.08600717290225381</v>
      </c>
      <c r="H2113" t="n">
        <v>0.0122975807204222</v>
      </c>
      <c r="I2113" t="n">
        <v>0.5297953964839902</v>
      </c>
      <c r="J2113" t="n">
        <v>0.073527855552371</v>
      </c>
      <c r="K2113" t="n">
        <v>0.2644707716434008</v>
      </c>
      <c r="L2113" t="b">
        <v>0</v>
      </c>
      <c r="M2113" t="b">
        <v>0</v>
      </c>
      <c r="N2113" t="inlineStr">
        <is>
          <t>ref</t>
        </is>
      </c>
      <c r="O2113" t="n">
        <v>10</v>
      </c>
      <c r="P2113" t="n">
        <v>0.00161</v>
      </c>
      <c r="Q2113" t="n">
        <v>-80</v>
      </c>
      <c r="R2113" t="n">
        <v>0.02643</v>
      </c>
      <c r="S2113">
        <f>IMAGE("https://mitra.stanford.edu/kundaje/oak/projects/neuro-variants/variant_position/credible/roussos_2024/variant_figures/roussos_2024.infant.GLU/rs67206190_count_position.png",4,220,900)</f>
        <v/>
      </c>
      <c r="T2113">
        <f>IMAGE("https://mitra.stanford.edu/kundaje/oak/projects/neuro-variants/variant_position/credible/roussos_2024/variant_figures/roussos_2024.infant.GLU/rs67206190_profile_position.png",4,220,900)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-0.0539125587999999</v>
      </c>
      <c r="G2114" t="n">
        <v>0.1663870570250505</v>
      </c>
      <c r="H2114" t="n">
        <v>0.017659451464953</v>
      </c>
      <c r="I2114" t="n">
        <v>0.2535445142940222</v>
      </c>
      <c r="J2114" t="n">
        <v>0.07224586079940019</v>
      </c>
      <c r="K2114" t="n">
        <v>0.2685147471218029</v>
      </c>
      <c r="L2114" t="b">
        <v>0</v>
      </c>
      <c r="M2114" t="b">
        <v>0</v>
      </c>
      <c r="N2114" t="inlineStr">
        <is>
          <t>ref</t>
        </is>
      </c>
      <c r="O2114" t="n">
        <v>100</v>
      </c>
      <c r="P2114" t="n">
        <v>0.1692</v>
      </c>
      <c r="Q2114" t="n">
        <v>30</v>
      </c>
      <c r="R2114" t="n">
        <v>0.0586</v>
      </c>
      <c r="S2114">
        <f>IMAGE("https://mitra.stanford.edu/kundaje/oak/projects/neuro-variants/variant_position/credible/roussos_2024/variant_figures/roussos_2024.infant.GLU/rs66848903_count_position.png",4,220,900)</f>
        <v/>
      </c>
      <c r="T2114">
        <f>IMAGE("https://mitra.stanford.edu/kundaje/oak/projects/neuro-variants/variant_position/credible/roussos_2024/variant_figures/roussos_2024.infant.GLU/rs66848903_profile_position.png",4,220,900)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-0.12129743</v>
      </c>
      <c r="G2115" t="n">
        <v>0.0348455275735061</v>
      </c>
      <c r="H2115" t="n">
        <v>0.0205144932332169</v>
      </c>
      <c r="I2115" t="n">
        <v>0.1728220762562806</v>
      </c>
      <c r="J2115" t="n">
        <v>0.0063460393747657</v>
      </c>
      <c r="K2115" t="n">
        <v>0.719437347775943</v>
      </c>
      <c r="L2115" t="b">
        <v>0</v>
      </c>
      <c r="M2115" t="b">
        <v>0</v>
      </c>
      <c r="N2115" t="inlineStr">
        <is>
          <t>ref</t>
        </is>
      </c>
      <c r="O2115" t="n">
        <v>95</v>
      </c>
      <c r="P2115" t="n">
        <v>0.00454</v>
      </c>
      <c r="Q2115" t="n">
        <v>-20</v>
      </c>
      <c r="R2115" t="n">
        <v>0.02148</v>
      </c>
      <c r="S2115">
        <f>IMAGE("https://mitra.stanford.edu/kundaje/oak/projects/neuro-variants/variant_position/credible/roussos_2024/variant_figures/roussos_2024.infant.GLU/rs2941582_count_position.png",4,220,900)</f>
        <v/>
      </c>
      <c r="T2115">
        <f>IMAGE("https://mitra.stanford.edu/kundaje/oak/projects/neuro-variants/variant_position/credible/roussos_2024/variant_figures/roussos_2024.infant.GLU/rs2941582_profile_position.png",4,220,900)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0.0018353821799999</v>
      </c>
      <c r="G2116" t="n">
        <v>0.6802880606117093</v>
      </c>
      <c r="H2116" t="n">
        <v>0.0207968516468563</v>
      </c>
      <c r="I2116" t="n">
        <v>0.1701569457947225</v>
      </c>
      <c r="J2116" t="n">
        <v>0.1953096408650984</v>
      </c>
      <c r="K2116" t="n">
        <v>0.1139173167345653</v>
      </c>
      <c r="L2116" t="b">
        <v>0</v>
      </c>
      <c r="M2116" t="b">
        <v>0</v>
      </c>
      <c r="N2116" t="inlineStr">
        <is>
          <t>alt</t>
        </is>
      </c>
      <c r="O2116" t="n">
        <v>-75</v>
      </c>
      <c r="P2116" t="n">
        <v>0.01257</v>
      </c>
      <c r="Q2116" t="n">
        <v>-100</v>
      </c>
      <c r="R2116" t="n">
        <v>0.01288</v>
      </c>
      <c r="S2116">
        <f>IMAGE("https://mitra.stanford.edu/kundaje/oak/projects/neuro-variants/variant_position/credible/roussos_2024/variant_figures/roussos_2024.infant.GLU/rs354216_count_position.png",4,220,900)</f>
        <v/>
      </c>
      <c r="T2116">
        <f>IMAGE("https://mitra.stanford.edu/kundaje/oak/projects/neuro-variants/variant_position/credible/roussos_2024/variant_figures/roussos_2024.infant.GLU/rs354216_profile_position.png",4,220,900)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-0.14534105</v>
      </c>
      <c r="G2117" t="n">
        <v>0.0249560015499069</v>
      </c>
      <c r="H2117" t="n">
        <v>0.0195852114032672</v>
      </c>
      <c r="I2117" t="n">
        <v>0.1934645100190312</v>
      </c>
      <c r="J2117" t="n">
        <v>0.2123790207015145</v>
      </c>
      <c r="K2117" t="n">
        <v>0.102420494110913</v>
      </c>
      <c r="L2117" t="b">
        <v>0</v>
      </c>
      <c r="M2117" t="b">
        <v>0</v>
      </c>
      <c r="N2117" t="inlineStr">
        <is>
          <t>ref</t>
        </is>
      </c>
      <c r="O2117" t="n">
        <v>-95</v>
      </c>
      <c r="P2117" t="n">
        <v>0.01051</v>
      </c>
      <c r="Q2117" t="n">
        <v>0</v>
      </c>
      <c r="R2117" t="n">
        <v>0</v>
      </c>
      <c r="S2117">
        <f>IMAGE("https://mitra.stanford.edu/kundaje/oak/projects/neuro-variants/variant_position/credible/roussos_2024/variant_figures/roussos_2024.infant.GLU/rs73934803_count_position.png",4,220,900)</f>
        <v/>
      </c>
      <c r="T2117">
        <f>IMAGE("https://mitra.stanford.edu/kundaje/oak/projects/neuro-variants/variant_position/credible/roussos_2024/variant_figures/roussos_2024.infant.GLU/rs73934803_profile_position.png",4,220,900)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-0.1140019562</v>
      </c>
      <c r="G2118" t="n">
        <v>0.0403462982695876</v>
      </c>
      <c r="H2118" t="n">
        <v>0.0237862016248592</v>
      </c>
      <c r="I2118" t="n">
        <v>0.1193297314937002</v>
      </c>
      <c r="J2118" t="n">
        <v>0.0208227694614078</v>
      </c>
      <c r="K2118" t="n">
        <v>0.542670502071904</v>
      </c>
      <c r="L2118" t="b">
        <v>0</v>
      </c>
      <c r="M2118" t="b">
        <v>0</v>
      </c>
      <c r="N2118" t="inlineStr">
        <is>
          <t>ref</t>
        </is>
      </c>
      <c r="O2118" t="n">
        <v>-60</v>
      </c>
      <c r="P2118" t="n">
        <v>0.0934</v>
      </c>
      <c r="Q2118" t="n">
        <v>-100</v>
      </c>
      <c r="R2118" t="n">
        <v>0.1953</v>
      </c>
      <c r="S2118">
        <f>IMAGE("https://mitra.stanford.edu/kundaje/oak/projects/neuro-variants/variant_position/credible/roussos_2024/variant_figures/roussos_2024.infant.GLU/rs148661029_count_position.png",4,220,900)</f>
        <v/>
      </c>
      <c r="T2118">
        <f>IMAGE("https://mitra.stanford.edu/kundaje/oak/projects/neuro-variants/variant_position/credible/roussos_2024/variant_figures/roussos_2024.infant.GLU/rs148661029_profile_position.png",4,220,900)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-0.141046522</v>
      </c>
      <c r="G2119" t="n">
        <v>0.0259210973002829</v>
      </c>
      <c r="H2119" t="n">
        <v>0.0242201416466365</v>
      </c>
      <c r="I2119" t="n">
        <v>0.1169054629116987</v>
      </c>
      <c r="J2119" t="n">
        <v>0.0951994091580501</v>
      </c>
      <c r="K2119" t="n">
        <v>0.2152235611850003</v>
      </c>
      <c r="L2119" t="b">
        <v>0</v>
      </c>
      <c r="M2119" t="b">
        <v>0</v>
      </c>
      <c r="N2119" t="inlineStr">
        <is>
          <t>ref</t>
        </is>
      </c>
      <c r="O2119" t="n">
        <v>-20</v>
      </c>
      <c r="P2119" t="n">
        <v>0.00275</v>
      </c>
      <c r="Q2119" t="n">
        <v>30</v>
      </c>
      <c r="R2119" t="n">
        <v>0.013306</v>
      </c>
      <c r="S2119">
        <f>IMAGE("https://mitra.stanford.edu/kundaje/oak/projects/neuro-variants/variant_position/credible/roussos_2024/variant_figures/roussos_2024.infant.GLU/rs10180540_count_position.png",4,220,900)</f>
        <v/>
      </c>
      <c r="T2119">
        <f>IMAGE("https://mitra.stanford.edu/kundaje/oak/projects/neuro-variants/variant_position/credible/roussos_2024/variant_figures/roussos_2024.infant.GLU/rs10180540_profile_position.png",4,220,900)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-0.00359185976</v>
      </c>
      <c r="G2120" t="n">
        <v>0.8060509098462971</v>
      </c>
      <c r="H2120" t="n">
        <v>0.010889157301118</v>
      </c>
      <c r="I2120" t="n">
        <v>0.6585607063638177</v>
      </c>
      <c r="J2120" t="n">
        <v>0.03303644260235</v>
      </c>
      <c r="K2120" t="n">
        <v>0.4450521571112013</v>
      </c>
      <c r="L2120" t="b">
        <v>0</v>
      </c>
      <c r="M2120" t="b">
        <v>0</v>
      </c>
      <c r="N2120" t="inlineStr">
        <is>
          <t>ref</t>
        </is>
      </c>
      <c r="O2120" t="n">
        <v>-100</v>
      </c>
      <c r="P2120" t="n">
        <v>0.01056</v>
      </c>
      <c r="Q2120" t="n">
        <v>-100</v>
      </c>
      <c r="R2120" t="n">
        <v>0.2754</v>
      </c>
      <c r="S2120">
        <f>IMAGE("https://mitra.stanford.edu/kundaje/oak/projects/neuro-variants/variant_position/credible/roussos_2024/variant_figures/roussos_2024.infant.GLU/rs41335055_count_position.png",4,220,900)</f>
        <v/>
      </c>
      <c r="T2120">
        <f>IMAGE("https://mitra.stanford.edu/kundaje/oak/projects/neuro-variants/variant_position/credible/roussos_2024/variant_figures/roussos_2024.infant.GLU/rs41335055_profile_position.png",4,220,900)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-0.011542348786</v>
      </c>
      <c r="G2121" t="n">
        <v>0.5986405780608862</v>
      </c>
      <c r="H2121" t="n">
        <v>0.0148348873664324</v>
      </c>
      <c r="I2121" t="n">
        <v>0.370737177517727</v>
      </c>
      <c r="J2121" t="n">
        <v>0.0261447562776956</v>
      </c>
      <c r="K2121" t="n">
        <v>0.4824269904990649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0.2115</v>
      </c>
      <c r="Q2121" t="n">
        <v>-100</v>
      </c>
      <c r="R2121" t="n">
        <v>0.298</v>
      </c>
      <c r="S2121">
        <f>IMAGE("https://mitra.stanford.edu/kundaje/oak/projects/neuro-variants/variant_position/credible/roussos_2024/variant_figures/roussos_2024.infant.GLU/rs77011057_count_position.png",4,220,900)</f>
        <v/>
      </c>
      <c r="T2121">
        <f>IMAGE("https://mitra.stanford.edu/kundaje/oak/projects/neuro-variants/variant_position/credible/roussos_2024/variant_figures/roussos_2024.infant.GLU/rs77011057_profile_position.png",4,220,900)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0.009397289684</v>
      </c>
      <c r="G2122" t="n">
        <v>0.5544179190061955</v>
      </c>
      <c r="H2122" t="n">
        <v>0.0490417823572319</v>
      </c>
      <c r="I2122" t="n">
        <v>0.0082940494184734</v>
      </c>
      <c r="J2122" t="n">
        <v>0.0353028064992613</v>
      </c>
      <c r="K2122" t="n">
        <v>0.4200736747056218</v>
      </c>
      <c r="L2122" t="b">
        <v>1</v>
      </c>
      <c r="M2122" t="b">
        <v>0</v>
      </c>
      <c r="N2122" t="inlineStr">
        <is>
          <t>alt</t>
        </is>
      </c>
      <c r="O2122" t="n">
        <v>-20</v>
      </c>
      <c r="P2122" t="n">
        <v>0.001343</v>
      </c>
      <c r="Q2122" t="n">
        <v>-65</v>
      </c>
      <c r="R2122" t="n">
        <v>0.1173</v>
      </c>
      <c r="S2122">
        <f>IMAGE("https://mitra.stanford.edu/kundaje/oak/projects/neuro-variants/variant_position/credible/roussos_2024/variant_figures/roussos_2024.infant.GLU/rs79017955_count_position.png",4,220,900)</f>
        <v/>
      </c>
      <c r="T2122">
        <f>IMAGE("https://mitra.stanford.edu/kundaje/oak/projects/neuro-variants/variant_position/credible/roussos_2024/variant_figures/roussos_2024.infant.GLU/rs79017955_profile_position.png",4,220,900)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8.648097999999996e-05</v>
      </c>
      <c r="G2123" t="n">
        <v>0.8524829200502724</v>
      </c>
      <c r="H2123" t="n">
        <v>0.0274336677597172</v>
      </c>
      <c r="I2123" t="n">
        <v>0.0771281255021417</v>
      </c>
      <c r="J2123" t="n">
        <v>0.1465784078132233</v>
      </c>
      <c r="K2123" t="n">
        <v>0.1513647251858317</v>
      </c>
      <c r="L2123" t="b">
        <v>0</v>
      </c>
      <c r="M2123" t="b">
        <v>0</v>
      </c>
      <c r="N2123" t="inlineStr">
        <is>
          <t>alt</t>
        </is>
      </c>
      <c r="O2123" t="n">
        <v>100</v>
      </c>
      <c r="P2123" t="n">
        <v>0.0982</v>
      </c>
      <c r="Q2123" t="n">
        <v>95</v>
      </c>
      <c r="R2123" t="n">
        <v>0.283</v>
      </c>
      <c r="S2123">
        <f>IMAGE("https://mitra.stanford.edu/kundaje/oak/projects/neuro-variants/variant_position/credible/roussos_2024/variant_figures/roussos_2024.infant.GLU/rs59159185_count_position.png",4,220,900)</f>
        <v/>
      </c>
      <c r="T2123">
        <f>IMAGE("https://mitra.stanford.edu/kundaje/oak/projects/neuro-variants/variant_position/credible/roussos_2024/variant_figures/roussos_2024.infant.GLU/rs59159185_profile_position.png",4,220,900)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-0.0583084927999999</v>
      </c>
      <c r="G2124" t="n">
        <v>0.1365987488309481</v>
      </c>
      <c r="H2124" t="n">
        <v>0.0099303998504661</v>
      </c>
      <c r="I2124" t="n">
        <v>0.7488469336137877</v>
      </c>
      <c r="J2124" t="n">
        <v>0.1837452324786701</v>
      </c>
      <c r="K2124" t="n">
        <v>0.123445875903863</v>
      </c>
      <c r="L2124" t="b">
        <v>0</v>
      </c>
      <c r="M2124" t="b">
        <v>0</v>
      </c>
      <c r="N2124" t="inlineStr">
        <is>
          <t>ref</t>
        </is>
      </c>
      <c r="O2124" t="n">
        <v>-40</v>
      </c>
      <c r="P2124" t="n">
        <v>0.003721</v>
      </c>
      <c r="Q2124" t="n">
        <v>60</v>
      </c>
      <c r="R2124" t="n">
        <v>0.3157</v>
      </c>
      <c r="S2124">
        <f>IMAGE("https://mitra.stanford.edu/kundaje/oak/projects/neuro-variants/variant_position/credible/roussos_2024/variant_figures/roussos_2024.infant.GLU/rs17828225_count_position.png",4,220,900)</f>
        <v/>
      </c>
      <c r="T2124">
        <f>IMAGE("https://mitra.stanford.edu/kundaje/oak/projects/neuro-variants/variant_position/credible/roussos_2024/variant_figures/roussos_2024.infant.GLU/rs17828225_profile_position.png",4,220,900)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0.1050135992</v>
      </c>
      <c r="G2125" t="n">
        <v>0.0463769782091008</v>
      </c>
      <c r="H2125" t="n">
        <v>0.0422222579116915</v>
      </c>
      <c r="I2125" t="n">
        <v>0.016171209887059</v>
      </c>
      <c r="J2125" t="n">
        <v>0.2421900835556338</v>
      </c>
      <c r="K2125" t="n">
        <v>0.09200607014484349</v>
      </c>
      <c r="L2125" t="b">
        <v>1</v>
      </c>
      <c r="M2125" t="b">
        <v>0</v>
      </c>
      <c r="N2125" t="inlineStr">
        <is>
          <t>alt</t>
        </is>
      </c>
      <c r="O2125" t="n">
        <v>100</v>
      </c>
      <c r="P2125" t="n">
        <v>0.01758</v>
      </c>
      <c r="Q2125" t="n">
        <v>-65</v>
      </c>
      <c r="R2125" t="n">
        <v>0.08655</v>
      </c>
      <c r="S2125">
        <f>IMAGE("https://mitra.stanford.edu/kundaje/oak/projects/neuro-variants/variant_position/credible/roussos_2024/variant_figures/roussos_2024.infant.GLU/rs2678915_count_position.png",4,220,900)</f>
        <v/>
      </c>
      <c r="T2125">
        <f>IMAGE("https://mitra.stanford.edu/kundaje/oak/projects/neuro-variants/variant_position/credible/roussos_2024/variant_figures/roussos_2024.infant.GLU/rs2678915_profile_position.png",4,220,900)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0.1606440659999999</v>
      </c>
      <c r="G2126" t="n">
        <v>0.0183635792456663</v>
      </c>
      <c r="H2126" t="n">
        <v>0.0620507861894495</v>
      </c>
      <c r="I2126" t="n">
        <v>0.0027669585984237</v>
      </c>
      <c r="J2126" t="n">
        <v>0.4157510086201195</v>
      </c>
      <c r="K2126" t="n">
        <v>0.043222802059079</v>
      </c>
      <c r="L2126" t="b">
        <v>1</v>
      </c>
      <c r="M2126" t="b">
        <v>1</v>
      </c>
      <c r="N2126" t="inlineStr">
        <is>
          <t>alt</t>
        </is>
      </c>
      <c r="O2126" t="n">
        <v>50</v>
      </c>
      <c r="P2126" t="n">
        <v>0.000923</v>
      </c>
      <c r="Q2126" t="n">
        <v>100</v>
      </c>
      <c r="R2126" t="n">
        <v>0.1624</v>
      </c>
      <c r="S2126">
        <f>IMAGE("https://mitra.stanford.edu/kundaje/oak/projects/neuro-variants/variant_position/credible/roussos_2024/variant_figures/roussos_2024.infant.GLU/rs77843640_count_position.png",4,220,900)</f>
        <v/>
      </c>
      <c r="T2126">
        <f>IMAGE("https://mitra.stanford.edu/kundaje/oak/projects/neuro-variants/variant_position/credible/roussos_2024/variant_figures/roussos_2024.infant.GLU/rs77843640_profile_position.png",4,220,900)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-0.079327198</v>
      </c>
      <c r="G2127" t="n">
        <v>0.0805784715714685</v>
      </c>
      <c r="H2127" t="n">
        <v>0.0148496652806098</v>
      </c>
      <c r="I2127" t="n">
        <v>0.3738426301273436</v>
      </c>
      <c r="J2127" t="n">
        <v>0.3592484402213453</v>
      </c>
      <c r="K2127" t="n">
        <v>0.0527097162566434</v>
      </c>
      <c r="L2127" t="b">
        <v>0</v>
      </c>
      <c r="M2127" t="b">
        <v>0</v>
      </c>
      <c r="N2127" t="inlineStr">
        <is>
          <t>ref</t>
        </is>
      </c>
      <c r="O2127" t="n">
        <v>-100</v>
      </c>
      <c r="P2127" t="n">
        <v>0.01057</v>
      </c>
      <c r="Q2127" t="n">
        <v>-100</v>
      </c>
      <c r="R2127" t="n">
        <v>0.1699</v>
      </c>
      <c r="S2127">
        <f>IMAGE("https://mitra.stanford.edu/kundaje/oak/projects/neuro-variants/variant_position/credible/roussos_2024/variant_figures/roussos_2024.infant.GLU/rs2717007_count_position.png",4,220,900)</f>
        <v/>
      </c>
      <c r="T2127">
        <f>IMAGE("https://mitra.stanford.edu/kundaje/oak/projects/neuro-variants/variant_position/credible/roussos_2024/variant_figures/roussos_2024.infant.GLU/rs2717007_profile_position.png",4,220,900)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-0.0359094382</v>
      </c>
      <c r="G2128" t="n">
        <v>0.2645206507915268</v>
      </c>
      <c r="H2128" t="n">
        <v>0.0376942908933788</v>
      </c>
      <c r="I2128" t="n">
        <v>0.0255606895156544</v>
      </c>
      <c r="J2128" t="n">
        <v>0.0205053021451089</v>
      </c>
      <c r="K2128" t="n">
        <v>0.5391474047520167</v>
      </c>
      <c r="L2128" t="b">
        <v>0</v>
      </c>
      <c r="M2128" t="b">
        <v>0</v>
      </c>
      <c r="N2128" t="inlineStr">
        <is>
          <t>ref</t>
        </is>
      </c>
      <c r="O2128" t="n">
        <v>-20</v>
      </c>
      <c r="P2128" t="n">
        <v>0.004852</v>
      </c>
      <c r="Q2128" t="n">
        <v>-95</v>
      </c>
      <c r="R2128" t="n">
        <v>0.08093</v>
      </c>
      <c r="S2128">
        <f>IMAGE("https://mitra.stanford.edu/kundaje/oak/projects/neuro-variants/variant_position/credible/roussos_2024/variant_figures/roussos_2024.infant.GLU/rs2717019_count_position.png",4,220,900)</f>
        <v/>
      </c>
      <c r="T2128">
        <f>IMAGE("https://mitra.stanford.edu/kundaje/oak/projects/neuro-variants/variant_position/credible/roussos_2024/variant_figures/roussos_2024.infant.GLU/rs2717019_profile_position.png",4,220,900)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0.028184634</v>
      </c>
      <c r="G2129" t="n">
        <v>0.3315905587026893</v>
      </c>
      <c r="H2129" t="n">
        <v>0.0224083442116721</v>
      </c>
      <c r="I2129" t="n">
        <v>0.1379571371717343</v>
      </c>
      <c r="J2129" t="n">
        <v>0.0082409224189245</v>
      </c>
      <c r="K2129" t="n">
        <v>0.6955138185225466</v>
      </c>
      <c r="L2129" t="b">
        <v>0</v>
      </c>
      <c r="M2129" t="b">
        <v>0</v>
      </c>
      <c r="N2129" t="inlineStr">
        <is>
          <t>alt</t>
        </is>
      </c>
      <c r="O2129" t="n">
        <v>-50</v>
      </c>
      <c r="P2129" t="n">
        <v>0.00714</v>
      </c>
      <c r="Q2129" t="n">
        <v>100</v>
      </c>
      <c r="R2129" t="n">
        <v>0.2141</v>
      </c>
      <c r="S2129">
        <f>IMAGE("https://mitra.stanford.edu/kundaje/oak/projects/neuro-variants/variant_position/credible/roussos_2024/variant_figures/roussos_2024.infant.GLU/rs2678888_count_position.png",4,220,900)</f>
        <v/>
      </c>
      <c r="T2129">
        <f>IMAGE("https://mitra.stanford.edu/kundaje/oak/projects/neuro-variants/variant_position/credible/roussos_2024/variant_figures/roussos_2024.infant.GLU/rs2678888_profile_position.png",4,220,900)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0.165421334</v>
      </c>
      <c r="G2130" t="n">
        <v>0.0166318875789154</v>
      </c>
      <c r="H2130" t="n">
        <v>0.0257555840109943</v>
      </c>
      <c r="I2130" t="n">
        <v>0.0922124025487166</v>
      </c>
      <c r="J2130" t="n">
        <v>0.0570250666901827</v>
      </c>
      <c r="K2130" t="n">
        <v>0.3204301221696616</v>
      </c>
      <c r="L2130" t="b">
        <v>1</v>
      </c>
      <c r="M2130" t="b">
        <v>0</v>
      </c>
      <c r="N2130" t="inlineStr">
        <is>
          <t>alt</t>
        </is>
      </c>
      <c r="O2130" t="n">
        <v>90</v>
      </c>
      <c r="P2130" t="n">
        <v>0.00418</v>
      </c>
      <c r="Q2130" t="n">
        <v>-100</v>
      </c>
      <c r="R2130" t="n">
        <v>0.1881</v>
      </c>
      <c r="S2130">
        <f>IMAGE("https://mitra.stanford.edu/kundaje/oak/projects/neuro-variants/variant_position/credible/roussos_2024/variant_figures/roussos_2024.infant.GLU/rs970941_count_position.png",4,220,900)</f>
        <v/>
      </c>
      <c r="T2130">
        <f>IMAGE("https://mitra.stanford.edu/kundaje/oak/projects/neuro-variants/variant_position/credible/roussos_2024/variant_figures/roussos_2024.infant.GLU/rs970941_profile_position.png",4,220,900)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0.02334338994</v>
      </c>
      <c r="G2131" t="n">
        <v>0.4105661159004661</v>
      </c>
      <c r="H2131" t="n">
        <v>0.0303484405868156</v>
      </c>
      <c r="I2131" t="n">
        <v>0.0553848415555486</v>
      </c>
      <c r="J2131" t="n">
        <v>0.0226283648228575</v>
      </c>
      <c r="K2131" t="n">
        <v>0.5187555971825513</v>
      </c>
      <c r="L2131" t="b">
        <v>0</v>
      </c>
      <c r="M2131" t="b">
        <v>0</v>
      </c>
      <c r="N2131" t="inlineStr">
        <is>
          <t>alt</t>
        </is>
      </c>
      <c r="O2131" t="n">
        <v>-35</v>
      </c>
      <c r="P2131" t="n">
        <v>0.006294</v>
      </c>
      <c r="Q2131" t="n">
        <v>-35</v>
      </c>
      <c r="R2131" t="n">
        <v>0.01282</v>
      </c>
      <c r="S2131">
        <f>IMAGE("https://mitra.stanford.edu/kundaje/oak/projects/neuro-variants/variant_position/credible/roussos_2024/variant_figures/roussos_2024.infant.GLU/rs2678891_count_position.png",4,220,900)</f>
        <v/>
      </c>
      <c r="T2131">
        <f>IMAGE("https://mitra.stanford.edu/kundaje/oak/projects/neuro-variants/variant_position/credible/roussos_2024/variant_figures/roussos_2024.infant.GLU/rs2678891_profile_position.png",4,220,900)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-0.01574720568</v>
      </c>
      <c r="G2132" t="n">
        <v>0.5377425406539347</v>
      </c>
      <c r="H2132" t="n">
        <v>0.0275825504549644</v>
      </c>
      <c r="I2132" t="n">
        <v>0.0750049655438028</v>
      </c>
      <c r="J2132" t="n">
        <v>0.008914438148989101</v>
      </c>
      <c r="K2132" t="n">
        <v>0.6763850846190264</v>
      </c>
      <c r="L2132" t="b">
        <v>0</v>
      </c>
      <c r="M2132" t="b">
        <v>0</v>
      </c>
      <c r="N2132" t="inlineStr">
        <is>
          <t>ref</t>
        </is>
      </c>
      <c r="O2132" t="n">
        <v>25</v>
      </c>
      <c r="P2132" t="n">
        <v>0.005615</v>
      </c>
      <c r="Q2132" t="n">
        <v>15</v>
      </c>
      <c r="R2132" t="n">
        <v>0.02863</v>
      </c>
      <c r="S2132">
        <f>IMAGE("https://mitra.stanford.edu/kundaje/oak/projects/neuro-variants/variant_position/credible/roussos_2024/variant_figures/roussos_2024.infant.GLU/rs1568254_count_position.png",4,220,900)</f>
        <v/>
      </c>
      <c r="T2132">
        <f>IMAGE("https://mitra.stanford.edu/kundaje/oak/projects/neuro-variants/variant_position/credible/roussos_2024/variant_figures/roussos_2024.infant.GLU/rs1568254_profile_position.png",4,220,900)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-0.0401155267999999</v>
      </c>
      <c r="G2133" t="n">
        <v>0.2409497120643557</v>
      </c>
      <c r="H2133" t="n">
        <v>0.0492563532533483</v>
      </c>
      <c r="I2133" t="n">
        <v>0.0081811183046925</v>
      </c>
      <c r="J2133" t="n">
        <v>0.0565532749840163</v>
      </c>
      <c r="K2133" t="n">
        <v>0.3128841801375557</v>
      </c>
      <c r="L2133" t="b">
        <v>1</v>
      </c>
      <c r="M2133" t="b">
        <v>1</v>
      </c>
      <c r="N2133" t="inlineStr">
        <is>
          <t>ref</t>
        </is>
      </c>
      <c r="O2133" t="n">
        <v>5</v>
      </c>
      <c r="P2133" t="n">
        <v>0.001709</v>
      </c>
      <c r="Q2133" t="n">
        <v>-90</v>
      </c>
      <c r="R2133" t="n">
        <v>0.3345</v>
      </c>
      <c r="S2133">
        <f>IMAGE("https://mitra.stanford.edu/kundaje/oak/projects/neuro-variants/variant_position/credible/roussos_2024/variant_figures/roussos_2024.infant.GLU/rs1518393_count_position.png",4,220,900)</f>
        <v/>
      </c>
      <c r="T2133">
        <f>IMAGE("https://mitra.stanford.edu/kundaje/oak/projects/neuro-variants/variant_position/credible/roussos_2024/variant_figures/roussos_2024.infant.GLU/rs1518393_profile_position.png",4,220,900)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-0.02666526846</v>
      </c>
      <c r="G2134" t="n">
        <v>0.3678711347317871</v>
      </c>
      <c r="H2134" t="n">
        <v>0.0101057441693392</v>
      </c>
      <c r="I2134" t="n">
        <v>0.7036272520293184</v>
      </c>
      <c r="J2134" t="n">
        <v>0.008109746687537099</v>
      </c>
      <c r="K2134" t="n">
        <v>0.7159713207415991</v>
      </c>
      <c r="L2134" t="b">
        <v>0</v>
      </c>
      <c r="M2134" t="b">
        <v>0</v>
      </c>
      <c r="N2134" t="inlineStr">
        <is>
          <t>ref</t>
        </is>
      </c>
      <c r="O2134" t="n">
        <v>-50</v>
      </c>
      <c r="P2134" t="n">
        <v>0.02473</v>
      </c>
      <c r="Q2134" t="n">
        <v>35</v>
      </c>
      <c r="R2134" t="n">
        <v>0.09436</v>
      </c>
      <c r="S2134">
        <f>IMAGE("https://mitra.stanford.edu/kundaje/oak/projects/neuro-variants/variant_position/credible/roussos_2024/variant_figures/roussos_2024.infant.GLU/rs59913344_count_position.png",4,220,900)</f>
        <v/>
      </c>
      <c r="T2134">
        <f>IMAGE("https://mitra.stanford.edu/kundaje/oak/projects/neuro-variants/variant_position/credible/roussos_2024/variant_figures/roussos_2024.infant.GLU/rs59913344_profile_position.png",4,220,900)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-0.009262205399999999</v>
      </c>
      <c r="G2135" t="n">
        <v>0.1964697057189056</v>
      </c>
      <c r="H2135" t="n">
        <v>0.0234797902582577</v>
      </c>
      <c r="I2135" t="n">
        <v>0.1260965371984516</v>
      </c>
      <c r="J2135" t="n">
        <v>0.0264974977402499</v>
      </c>
      <c r="K2135" t="n">
        <v>0.4959807379282357</v>
      </c>
      <c r="L2135" t="b">
        <v>0</v>
      </c>
      <c r="M2135" t="b">
        <v>0</v>
      </c>
      <c r="N2135" t="inlineStr">
        <is>
          <t>ref</t>
        </is>
      </c>
      <c r="O2135" t="n">
        <v>40</v>
      </c>
      <c r="P2135" t="n">
        <v>0.004242</v>
      </c>
      <c r="Q2135" t="n">
        <v>100</v>
      </c>
      <c r="R2135" t="n">
        <v>0.05444</v>
      </c>
      <c r="S2135">
        <f>IMAGE("https://mitra.stanford.edu/kundaje/oak/projects/neuro-variants/variant_position/credible/roussos_2024/variant_figures/roussos_2024.infant.GLU/rs6732310_count_position.png",4,220,900)</f>
        <v/>
      </c>
      <c r="T2135">
        <f>IMAGE("https://mitra.stanford.edu/kundaje/oak/projects/neuro-variants/variant_position/credible/roussos_2024/variant_figures/roussos_2024.infant.GLU/rs6732310_profile_position.png",4,220,900)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-0.0969095242</v>
      </c>
      <c r="G2136" t="n">
        <v>0.0540330267069245</v>
      </c>
      <c r="H2136" t="n">
        <v>0.0211634058860797</v>
      </c>
      <c r="I2136" t="n">
        <v>0.1618778923221378</v>
      </c>
      <c r="J2136" t="n">
        <v>0.0503858109746686</v>
      </c>
      <c r="K2136" t="n">
        <v>0.3500109006144495</v>
      </c>
      <c r="L2136" t="b">
        <v>0</v>
      </c>
      <c r="M2136" t="b">
        <v>0</v>
      </c>
      <c r="N2136" t="inlineStr">
        <is>
          <t>ref</t>
        </is>
      </c>
      <c r="O2136" t="n">
        <v>100</v>
      </c>
      <c r="P2136" t="n">
        <v>0.2173</v>
      </c>
      <c r="Q2136" t="n">
        <v>-100</v>
      </c>
      <c r="R2136" t="n">
        <v>0.04736</v>
      </c>
      <c r="S2136">
        <f>IMAGE("https://mitra.stanford.edu/kundaje/oak/projects/neuro-variants/variant_position/credible/roussos_2024/variant_figures/roussos_2024.infant.GLU/rs17049298_count_position.png",4,220,900)</f>
        <v/>
      </c>
      <c r="T2136">
        <f>IMAGE("https://mitra.stanford.edu/kundaje/oak/projects/neuro-variants/variant_position/credible/roussos_2024/variant_figures/roussos_2024.infant.GLU/rs17049298_profile_position.png",4,220,900)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0.0269920934</v>
      </c>
      <c r="G2137" t="n">
        <v>0.3430653670315455</v>
      </c>
      <c r="H2137" t="n">
        <v>0.0106334093243188</v>
      </c>
      <c r="I2137" t="n">
        <v>0.6818737965215836</v>
      </c>
      <c r="J2137" t="n">
        <v>0.0337298000396833</v>
      </c>
      <c r="K2137" t="n">
        <v>0.4240302821926345</v>
      </c>
      <c r="L2137" t="b">
        <v>0</v>
      </c>
      <c r="M2137" t="b">
        <v>0</v>
      </c>
      <c r="N2137" t="inlineStr">
        <is>
          <t>alt</t>
        </is>
      </c>
      <c r="O2137" t="n">
        <v>-50</v>
      </c>
      <c r="P2137" t="n">
        <v>0.0296</v>
      </c>
      <c r="Q2137" t="n">
        <v>-100</v>
      </c>
      <c r="R2137" t="n">
        <v>0.07679999999999999</v>
      </c>
      <c r="S2137">
        <f>IMAGE("https://mitra.stanford.edu/kundaje/oak/projects/neuro-variants/variant_position/credible/roussos_2024/variant_figures/roussos_2024.infant.GLU/rs3771204_count_position.png",4,220,900)</f>
        <v/>
      </c>
      <c r="T2137">
        <f>IMAGE("https://mitra.stanford.edu/kundaje/oak/projects/neuro-variants/variant_position/credible/roussos_2024/variant_figures/roussos_2024.infant.GLU/rs3771204_profile_position.png",4,220,900)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0.06493582000000001</v>
      </c>
      <c r="G2138" t="n">
        <v>0.1139940497159051</v>
      </c>
      <c r="H2138" t="n">
        <v>0.016328875696259</v>
      </c>
      <c r="I2138" t="n">
        <v>0.3049671449916202</v>
      </c>
      <c r="J2138" t="n">
        <v>0.2976630878105778</v>
      </c>
      <c r="K2138" t="n">
        <v>0.0695592335884315</v>
      </c>
      <c r="L2138" t="b">
        <v>0</v>
      </c>
      <c r="M2138" t="b">
        <v>0</v>
      </c>
      <c r="N2138" t="inlineStr">
        <is>
          <t>alt</t>
        </is>
      </c>
      <c r="O2138" t="n">
        <v>-95</v>
      </c>
      <c r="P2138" t="n">
        <v>0.01834</v>
      </c>
      <c r="Q2138" t="n">
        <v>90</v>
      </c>
      <c r="R2138" t="n">
        <v>0.1674</v>
      </c>
      <c r="S2138">
        <f>IMAGE("https://mitra.stanford.edu/kundaje/oak/projects/neuro-variants/variant_position/credible/roussos_2024/variant_figures/roussos_2024.infant.GLU/rs12620940_count_position.png",4,220,900)</f>
        <v/>
      </c>
      <c r="T2138">
        <f>IMAGE("https://mitra.stanford.edu/kundaje/oak/projects/neuro-variants/variant_position/credible/roussos_2024/variant_figures/roussos_2024.infant.GLU/rs12620940_profile_position.png",4,220,900)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0.00197967536</v>
      </c>
      <c r="G2139" t="n">
        <v>0.8453247249089975</v>
      </c>
      <c r="H2139" t="n">
        <v>0.0197317505841971</v>
      </c>
      <c r="I2139" t="n">
        <v>0.1892078602893154</v>
      </c>
      <c r="J2139" t="n">
        <v>0.0164190127648316</v>
      </c>
      <c r="K2139" t="n">
        <v>0.5811223029051934</v>
      </c>
      <c r="L2139" t="b">
        <v>0</v>
      </c>
      <c r="M2139" t="b">
        <v>0</v>
      </c>
      <c r="N2139" t="inlineStr">
        <is>
          <t>alt</t>
        </is>
      </c>
      <c r="O2139" t="n">
        <v>100</v>
      </c>
      <c r="P2139" t="n">
        <v>0.2551</v>
      </c>
      <c r="Q2139" t="n">
        <v>100</v>
      </c>
      <c r="R2139" t="n">
        <v>0.04492</v>
      </c>
      <c r="S2139">
        <f>IMAGE("https://mitra.stanford.edu/kundaje/oak/projects/neuro-variants/variant_position/credible/roussos_2024/variant_figures/roussos_2024.infant.GLU/rs2118899_count_position.png",4,220,900)</f>
        <v/>
      </c>
      <c r="T2139">
        <f>IMAGE("https://mitra.stanford.edu/kundaje/oak/projects/neuro-variants/variant_position/credible/roussos_2024/variant_figures/roussos_2024.infant.GLU/rs2118899_profile_position.png",4,220,900)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-0.025890814</v>
      </c>
      <c r="G2140" t="n">
        <v>0.3688054539505891</v>
      </c>
      <c r="H2140" t="n">
        <v>0.0516600505066853</v>
      </c>
      <c r="I2140" t="n">
        <v>0.0065217005717176</v>
      </c>
      <c r="J2140" t="n">
        <v>0.0020712537754359</v>
      </c>
      <c r="K2140" t="n">
        <v>0.8381155418241751</v>
      </c>
      <c r="L2140" t="b">
        <v>0</v>
      </c>
      <c r="M2140" t="b">
        <v>0</v>
      </c>
      <c r="N2140" t="inlineStr">
        <is>
          <t>ref</t>
        </is>
      </c>
      <c r="O2140" t="n">
        <v>-45</v>
      </c>
      <c r="P2140" t="n">
        <v>0.01575</v>
      </c>
      <c r="Q2140" t="n">
        <v>-45</v>
      </c>
      <c r="R2140" t="n">
        <v>0.07733</v>
      </c>
      <c r="S2140">
        <f>IMAGE("https://mitra.stanford.edu/kundaje/oak/projects/neuro-variants/variant_position/credible/roussos_2024/variant_figures/roussos_2024.infant.GLU/rs17049366_count_position.png",4,220,900)</f>
        <v/>
      </c>
      <c r="T2140">
        <f>IMAGE("https://mitra.stanford.edu/kundaje/oak/projects/neuro-variants/variant_position/credible/roussos_2024/variant_figures/roussos_2024.infant.GLU/rs17049366_profile_position.png",4,220,900)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-0.00991037524</v>
      </c>
      <c r="G2141" t="n">
        <v>0.6488163048820467</v>
      </c>
      <c r="H2141" t="n">
        <v>0.0105773897776885</v>
      </c>
      <c r="I2141" t="n">
        <v>0.68901663695895</v>
      </c>
      <c r="J2141" t="n">
        <v>0.0469829581780902</v>
      </c>
      <c r="K2141" t="n">
        <v>0.3653754666341657</v>
      </c>
      <c r="L2141" t="b">
        <v>0</v>
      </c>
      <c r="M2141" t="b">
        <v>0</v>
      </c>
      <c r="N2141" t="inlineStr">
        <is>
          <t>ref</t>
        </is>
      </c>
      <c r="O2141" t="n">
        <v>40</v>
      </c>
      <c r="P2141" t="n">
        <v>0.003143</v>
      </c>
      <c r="Q2141" t="n">
        <v>-100</v>
      </c>
      <c r="R2141" t="n">
        <v>0.0994</v>
      </c>
      <c r="S2141">
        <f>IMAGE("https://mitra.stanford.edu/kundaje/oak/projects/neuro-variants/variant_position/credible/roussos_2024/variant_figures/roussos_2024.infant.GLU/rs848293_count_position.png",4,220,900)</f>
        <v/>
      </c>
      <c r="T2141">
        <f>IMAGE("https://mitra.stanford.edu/kundaje/oak/projects/neuro-variants/variant_position/credible/roussos_2024/variant_figures/roussos_2024.infant.GLU/rs848293_profile_position.png",4,220,900)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0.0598589665999999</v>
      </c>
      <c r="G2142" t="n">
        <v>0.1228842441998359</v>
      </c>
      <c r="H2142" t="n">
        <v>0.0114594173080381</v>
      </c>
      <c r="I2142" t="n">
        <v>0.5930154678375074</v>
      </c>
      <c r="J2142" t="n">
        <v>0.07456513591569471</v>
      </c>
      <c r="K2142" t="n">
        <v>0.2694170427910545</v>
      </c>
      <c r="L2142" t="b">
        <v>0</v>
      </c>
      <c r="M2142" t="b">
        <v>0</v>
      </c>
      <c r="N2142" t="inlineStr">
        <is>
          <t>alt</t>
        </is>
      </c>
      <c r="O2142" t="n">
        <v>50</v>
      </c>
      <c r="P2142" t="n">
        <v>0.003994</v>
      </c>
      <c r="Q2142" t="n">
        <v>-90</v>
      </c>
      <c r="R2142" t="n">
        <v>0.11566</v>
      </c>
      <c r="S2142">
        <f>IMAGE("https://mitra.stanford.edu/kundaje/oak/projects/neuro-variants/variant_position/credible/roussos_2024/variant_figures/roussos_2024.infant.GLU/rs113506287_count_position.png",4,220,900)</f>
        <v/>
      </c>
      <c r="T2142">
        <f>IMAGE("https://mitra.stanford.edu/kundaje/oak/projects/neuro-variants/variant_position/credible/roussos_2024/variant_figures/roussos_2024.infant.GLU/rs113506287_profile_position.png",4,220,900)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0.008866160979999999</v>
      </c>
      <c r="G2143" t="n">
        <v>0.6568490882433937</v>
      </c>
      <c r="H2143" t="n">
        <v>0.0413564621881727</v>
      </c>
      <c r="I2143" t="n">
        <v>0.0175775986449526</v>
      </c>
      <c r="J2143" t="n">
        <v>0.1228951255539142</v>
      </c>
      <c r="K2143" t="n">
        <v>0.1829277667913291</v>
      </c>
      <c r="L2143" t="b">
        <v>1</v>
      </c>
      <c r="M2143" t="b">
        <v>0</v>
      </c>
      <c r="N2143" t="inlineStr">
        <is>
          <t>alt</t>
        </is>
      </c>
      <c r="O2143" t="n">
        <v>-100</v>
      </c>
      <c r="P2143" t="n">
        <v>0.1879</v>
      </c>
      <c r="Q2143" t="n">
        <v>-95</v>
      </c>
      <c r="R2143" t="n">
        <v>0.1702</v>
      </c>
      <c r="S2143">
        <f>IMAGE("https://mitra.stanford.edu/kundaje/oak/projects/neuro-variants/variant_position/credible/roussos_2024/variant_figures/roussos_2024.infant.GLU/rs79064653_count_position.png",4,220,900)</f>
        <v/>
      </c>
      <c r="T2143">
        <f>IMAGE("https://mitra.stanford.edu/kundaje/oak/projects/neuro-variants/variant_position/credible/roussos_2024/variant_figures/roussos_2024.infant.GLU/rs79064653_profile_position.png",4,220,900)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-0.0224118692</v>
      </c>
      <c r="G2144" t="n">
        <v>0.4165775334465513</v>
      </c>
      <c r="H2144" t="n">
        <v>0.0457572593491469</v>
      </c>
      <c r="I2144" t="n">
        <v>0.0115601173217344</v>
      </c>
      <c r="J2144" t="n">
        <v>0.0272327432262615</v>
      </c>
      <c r="K2144" t="n">
        <v>0.4687621172486083</v>
      </c>
      <c r="L2144" t="b">
        <v>1</v>
      </c>
      <c r="M2144" t="b">
        <v>0</v>
      </c>
      <c r="N2144" t="inlineStr">
        <is>
          <t>ref</t>
        </is>
      </c>
      <c r="O2144" t="n">
        <v>-25</v>
      </c>
      <c r="P2144" t="n">
        <v>0.01318</v>
      </c>
      <c r="Q2144" t="n">
        <v>-10</v>
      </c>
      <c r="R2144" t="n">
        <v>0.02643</v>
      </c>
      <c r="S2144">
        <f>IMAGE("https://mitra.stanford.edu/kundaje/oak/projects/neuro-variants/variant_position/credible/roussos_2024/variant_figures/roussos_2024.infant.GLU/rs79588315_count_position.png",4,220,900)</f>
        <v/>
      </c>
      <c r="T2144">
        <f>IMAGE("https://mitra.stanford.edu/kundaje/oak/projects/neuro-variants/variant_position/credible/roussos_2024/variant_figures/roussos_2024.infant.GLU/rs79588315_profile_position.png",4,220,900)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-0.0468505419999999</v>
      </c>
      <c r="G2145" t="n">
        <v>0.1866251267139655</v>
      </c>
      <c r="H2145" t="n">
        <v>0.009681642497176599</v>
      </c>
      <c r="I2145" t="n">
        <v>0.7715822659266536</v>
      </c>
      <c r="J2145" t="n">
        <v>0.0600211644877532</v>
      </c>
      <c r="K2145" t="n">
        <v>0.3028457950534441</v>
      </c>
      <c r="L2145" t="b">
        <v>0</v>
      </c>
      <c r="M2145" t="b">
        <v>0</v>
      </c>
      <c r="N2145" t="inlineStr">
        <is>
          <t>ref</t>
        </is>
      </c>
      <c r="O2145" t="n">
        <v>95</v>
      </c>
      <c r="P2145" t="n">
        <v>0.02545</v>
      </c>
      <c r="Q2145" t="n">
        <v>-15</v>
      </c>
      <c r="R2145" t="n">
        <v>0.02155</v>
      </c>
      <c r="S2145">
        <f>IMAGE("https://mitra.stanford.edu/kundaje/oak/projects/neuro-variants/variant_position/credible/roussos_2024/variant_figures/roussos_2024.infant.GLU/rs80099621_count_position.png",4,220,900)</f>
        <v/>
      </c>
      <c r="T2145">
        <f>IMAGE("https://mitra.stanford.edu/kundaje/oak/projects/neuro-variants/variant_position/credible/roussos_2024/variant_figures/roussos_2024.infant.GLU/rs80099621_profile_position.png",4,220,900)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0.0350052734</v>
      </c>
      <c r="G2146" t="n">
        <v>0.2656631867282445</v>
      </c>
      <c r="H2146" t="n">
        <v>0.016370245515024</v>
      </c>
      <c r="I2146" t="n">
        <v>0.3004828649332764</v>
      </c>
      <c r="J2146" t="n">
        <v>0.192119535263123</v>
      </c>
      <c r="K2146" t="n">
        <v>0.1189205548002336</v>
      </c>
      <c r="L2146" t="b">
        <v>0</v>
      </c>
      <c r="M2146" t="b">
        <v>0</v>
      </c>
      <c r="N2146" t="inlineStr">
        <is>
          <t>alt</t>
        </is>
      </c>
      <c r="O2146" t="n">
        <v>75</v>
      </c>
      <c r="P2146" t="n">
        <v>0.01393</v>
      </c>
      <c r="Q2146" t="n">
        <v>75</v>
      </c>
      <c r="R2146" t="n">
        <v>0.1101</v>
      </c>
      <c r="S2146">
        <f>IMAGE("https://mitra.stanford.edu/kundaje/oak/projects/neuro-variants/variant_position/credible/roussos_2024/variant_figures/roussos_2024.infant.GLU/rs112144830_count_position.png",4,220,900)</f>
        <v/>
      </c>
      <c r="T2146">
        <f>IMAGE("https://mitra.stanford.edu/kundaje/oak/projects/neuro-variants/variant_position/credible/roussos_2024/variant_figures/roussos_2024.infant.GLU/rs112144830_profile_position.png",4,220,900)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-0.118548558</v>
      </c>
      <c r="G2147" t="n">
        <v>0.0352241423577146</v>
      </c>
      <c r="H2147" t="n">
        <v>0.0164346086516502</v>
      </c>
      <c r="I2147" t="n">
        <v>0.2980134677084977</v>
      </c>
      <c r="J2147" t="n">
        <v>0.0577415727859961</v>
      </c>
      <c r="K2147" t="n">
        <v>0.3219074278700553</v>
      </c>
      <c r="L2147" t="b">
        <v>0</v>
      </c>
      <c r="M2147" t="b">
        <v>0</v>
      </c>
      <c r="N2147" t="inlineStr">
        <is>
          <t>ref</t>
        </is>
      </c>
      <c r="O2147" t="n">
        <v>-50</v>
      </c>
      <c r="P2147" t="n">
        <v>0.001289</v>
      </c>
      <c r="Q2147" t="n">
        <v>-20</v>
      </c>
      <c r="R2147" t="n">
        <v>0.009520000000000001</v>
      </c>
      <c r="S2147">
        <f>IMAGE("https://mitra.stanford.edu/kundaje/oak/projects/neuro-variants/variant_position/credible/roussos_2024/variant_figures/roussos_2024.infant.GLU/rs184071680_count_position.png",4,220,900)</f>
        <v/>
      </c>
      <c r="T2147">
        <f>IMAGE("https://mitra.stanford.edu/kundaje/oak/projects/neuro-variants/variant_position/credible/roussos_2024/variant_figures/roussos_2024.infant.GLU/rs184071680_profile_position.png",4,220,900)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0.0727839519999999</v>
      </c>
      <c r="G2148" t="n">
        <v>0.1110855928989075</v>
      </c>
      <c r="H2148" t="n">
        <v>0.026827407631022</v>
      </c>
      <c r="I2148" t="n">
        <v>0.0835964366188888</v>
      </c>
      <c r="J2148" t="n">
        <v>0.015839193985758</v>
      </c>
      <c r="K2148" t="n">
        <v>0.6083156156709171</v>
      </c>
      <c r="L2148" t="b">
        <v>0</v>
      </c>
      <c r="M2148" t="b">
        <v>0</v>
      </c>
      <c r="N2148" t="inlineStr">
        <is>
          <t>alt</t>
        </is>
      </c>
      <c r="O2148" t="n">
        <v>40</v>
      </c>
      <c r="P2148" t="n">
        <v>0.02777</v>
      </c>
      <c r="Q2148" t="n">
        <v>50</v>
      </c>
      <c r="R2148" t="n">
        <v>0.0603</v>
      </c>
      <c r="S2148">
        <f>IMAGE("https://mitra.stanford.edu/kundaje/oak/projects/neuro-variants/variant_position/credible/roussos_2024/variant_figures/roussos_2024.infant.GLU/rs10199158_count_position.png",4,220,900)</f>
        <v/>
      </c>
      <c r="T2148">
        <f>IMAGE("https://mitra.stanford.edu/kundaje/oak/projects/neuro-variants/variant_position/credible/roussos_2024/variant_figures/roussos_2024.infant.GLU/rs10199158_profile_position.png",4,220,900)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0.0398623542</v>
      </c>
      <c r="G2149" t="n">
        <v>0.2268244124941542</v>
      </c>
      <c r="H2149" t="n">
        <v>0.07621263084266409</v>
      </c>
      <c r="I2149" t="n">
        <v>0.0008428815232902</v>
      </c>
      <c r="J2149" t="n">
        <v>0.0326451200423289</v>
      </c>
      <c r="K2149" t="n">
        <v>0.4405827262818033</v>
      </c>
      <c r="L2149" t="b">
        <v>1</v>
      </c>
      <c r="M2149" t="b">
        <v>0</v>
      </c>
      <c r="N2149" t="inlineStr">
        <is>
          <t>alt</t>
        </is>
      </c>
      <c r="O2149" t="n">
        <v>-10</v>
      </c>
      <c r="P2149" t="n">
        <v>0.001465</v>
      </c>
      <c r="Q2149" t="n">
        <v>40</v>
      </c>
      <c r="R2149" t="n">
        <v>0.04187</v>
      </c>
      <c r="S2149">
        <f>IMAGE("https://mitra.stanford.edu/kundaje/oak/projects/neuro-variants/variant_position/credible/roussos_2024/variant_figures/roussos_2024.infant.GLU/rs11691553_count_position.png",4,220,900)</f>
        <v/>
      </c>
      <c r="T2149">
        <f>IMAGE("https://mitra.stanford.edu/kundaje/oak/projects/neuro-variants/variant_position/credible/roussos_2024/variant_figures/roussos_2024.infant.GLU/rs11691553_profile_position.png",4,220,900)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-0.01869120076</v>
      </c>
      <c r="G2150" t="n">
        <v>0.4675312190035465</v>
      </c>
      <c r="H2150" t="n">
        <v>0.0164859011637924</v>
      </c>
      <c r="I2150" t="n">
        <v>0.2942853375782333</v>
      </c>
      <c r="J2150" t="n">
        <v>0.0553748980356709</v>
      </c>
      <c r="K2150" t="n">
        <v>0.3260863938721923</v>
      </c>
      <c r="L2150" t="b">
        <v>0</v>
      </c>
      <c r="M2150" t="b">
        <v>0</v>
      </c>
      <c r="N2150" t="inlineStr">
        <is>
          <t>ref</t>
        </is>
      </c>
      <c r="O2150" t="n">
        <v>15</v>
      </c>
      <c r="P2150" t="n">
        <v>0.01099</v>
      </c>
      <c r="Q2150" t="n">
        <v>70</v>
      </c>
      <c r="R2150" t="n">
        <v>0.03616</v>
      </c>
      <c r="S2150">
        <f>IMAGE("https://mitra.stanford.edu/kundaje/oak/projects/neuro-variants/variant_position/credible/roussos_2024/variant_figures/roussos_2024.infant.GLU/rs13415334_count_position.png",4,220,900)</f>
        <v/>
      </c>
      <c r="T2150">
        <f>IMAGE("https://mitra.stanford.edu/kundaje/oak/projects/neuro-variants/variant_position/credible/roussos_2024/variant_figures/roussos_2024.infant.GLU/rs13415334_profile_position.png",4,220,900)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-0.0426650119999999</v>
      </c>
      <c r="G2151" t="n">
        <v>0.2198049430069731</v>
      </c>
      <c r="H2151" t="n">
        <v>0.0213500306946467</v>
      </c>
      <c r="I2151" t="n">
        <v>0.1550120500529713</v>
      </c>
      <c r="J2151" t="n">
        <v>0.4877234947860402</v>
      </c>
      <c r="K2151" t="n">
        <v>0.0321889601046785</v>
      </c>
      <c r="L2151" t="b">
        <v>0</v>
      </c>
      <c r="M2151" t="b">
        <v>0</v>
      </c>
      <c r="N2151" t="inlineStr">
        <is>
          <t>ref</t>
        </is>
      </c>
      <c r="O2151" t="n">
        <v>100</v>
      </c>
      <c r="P2151" t="n">
        <v>0.004093</v>
      </c>
      <c r="Q2151" t="n">
        <v>100</v>
      </c>
      <c r="R2151" t="n">
        <v>0.3096</v>
      </c>
      <c r="S2151">
        <f>IMAGE("https://mitra.stanford.edu/kundaje/oak/projects/neuro-variants/variant_position/credible/roussos_2024/variant_figures/roussos_2024.infant.GLU/rs974135_count_position.png",4,220,900)</f>
        <v/>
      </c>
      <c r="T2151">
        <f>IMAGE("https://mitra.stanford.edu/kundaje/oak/projects/neuro-variants/variant_position/credible/roussos_2024/variant_figures/roussos_2024.infant.GLU/rs974135_profile_position.png",4,220,900)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-0.04531393</v>
      </c>
      <c r="G2152" t="n">
        <v>0.2034095054726661</v>
      </c>
      <c r="H2152" t="n">
        <v>0.0265596117882725</v>
      </c>
      <c r="I2152" t="n">
        <v>0.0857212293813896</v>
      </c>
      <c r="J2152" t="n">
        <v>0.0237383981128331</v>
      </c>
      <c r="K2152" t="n">
        <v>0.5059319223030311</v>
      </c>
      <c r="L2152" t="b">
        <v>0</v>
      </c>
      <c r="M2152" t="b">
        <v>0</v>
      </c>
      <c r="N2152" t="inlineStr">
        <is>
          <t>ref</t>
        </is>
      </c>
      <c r="O2152" t="n">
        <v>-50</v>
      </c>
      <c r="P2152" t="n">
        <v>0.006836</v>
      </c>
      <c r="Q2152" t="n">
        <v>-80</v>
      </c>
      <c r="R2152" t="n">
        <v>0.08450000000000001</v>
      </c>
      <c r="S2152">
        <f>IMAGE("https://mitra.stanford.edu/kundaje/oak/projects/neuro-variants/variant_position/credible/roussos_2024/variant_figures/roussos_2024.infant.GLU/rs12621957_count_position.png",4,220,900)</f>
        <v/>
      </c>
      <c r="T2152">
        <f>IMAGE("https://mitra.stanford.edu/kundaje/oak/projects/neuro-variants/variant_position/credible/roussos_2024/variant_figures/roussos_2024.infant.GLU/rs12621957_profile_position.png",4,220,900)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-0.0340276872</v>
      </c>
      <c r="G2153" t="n">
        <v>0.284196445223907</v>
      </c>
      <c r="H2153" t="n">
        <v>0.030376973503804</v>
      </c>
      <c r="I2153" t="n">
        <v>0.0551623426908406</v>
      </c>
      <c r="J2153" t="n">
        <v>0.1123283141162723</v>
      </c>
      <c r="K2153" t="n">
        <v>0.187855061692968</v>
      </c>
      <c r="L2153" t="b">
        <v>0</v>
      </c>
      <c r="M2153" t="b">
        <v>0</v>
      </c>
      <c r="N2153" t="inlineStr">
        <is>
          <t>ref</t>
        </is>
      </c>
      <c r="O2153" t="n">
        <v>-50</v>
      </c>
      <c r="P2153" t="n">
        <v>0.00835</v>
      </c>
      <c r="Q2153" t="n">
        <v>65</v>
      </c>
      <c r="R2153" t="n">
        <v>0.124</v>
      </c>
      <c r="S2153">
        <f>IMAGE("https://mitra.stanford.edu/kundaje/oak/projects/neuro-variants/variant_position/credible/roussos_2024/variant_figures/roussos_2024.infant.GLU/rs17028290_count_position.png",4,220,900)</f>
        <v/>
      </c>
      <c r="T2153">
        <f>IMAGE("https://mitra.stanford.edu/kundaje/oak/projects/neuro-variants/variant_position/credible/roussos_2024/variant_figures/roussos_2024.infant.GLU/rs17028290_profile_position.png",4,220,900)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0.0937845538</v>
      </c>
      <c r="G2154" t="n">
        <v>0.0581057505745675</v>
      </c>
      <c r="H2154" t="n">
        <v>0.017098813313422</v>
      </c>
      <c r="I2154" t="n">
        <v>0.2701704055896375</v>
      </c>
      <c r="J2154" t="n">
        <v>0.6398994686831719</v>
      </c>
      <c r="K2154" t="n">
        <v>0.0183478439765316</v>
      </c>
      <c r="L2154" t="b">
        <v>0</v>
      </c>
      <c r="M2154" t="b">
        <v>0</v>
      </c>
      <c r="N2154" t="inlineStr">
        <is>
          <t>alt</t>
        </is>
      </c>
      <c r="O2154" t="n">
        <v>65</v>
      </c>
      <c r="P2154" t="n">
        <v>0.0365</v>
      </c>
      <c r="Q2154" t="n">
        <v>85</v>
      </c>
      <c r="R2154" t="n">
        <v>0.1738</v>
      </c>
      <c r="S2154">
        <f>IMAGE("https://mitra.stanford.edu/kundaje/oak/projects/neuro-variants/variant_position/credible/roussos_2024/variant_figures/roussos_2024.infant.GLU/rs58469620_count_position.png",4,220,900)</f>
        <v/>
      </c>
      <c r="T2154">
        <f>IMAGE("https://mitra.stanford.edu/kundaje/oak/projects/neuro-variants/variant_position/credible/roussos_2024/variant_figures/roussos_2024.infant.GLU/rs58469620_profile_position.png",4,220,900)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-0.214372076</v>
      </c>
      <c r="G2155" t="n">
        <v>0.008693793548287599</v>
      </c>
      <c r="H2155" t="n">
        <v>0.0276325772034624</v>
      </c>
      <c r="I2155" t="n">
        <v>0.0755697913280433</v>
      </c>
      <c r="J2155" t="n">
        <v>0.2519577151171763</v>
      </c>
      <c r="K2155" t="n">
        <v>0.0881634252753746</v>
      </c>
      <c r="L2155" t="b">
        <v>1</v>
      </c>
      <c r="M2155" t="b">
        <v>1</v>
      </c>
      <c r="N2155" t="inlineStr">
        <is>
          <t>ref</t>
        </is>
      </c>
      <c r="O2155" t="n">
        <v>70</v>
      </c>
      <c r="P2155" t="n">
        <v>0.00865</v>
      </c>
      <c r="Q2155" t="n">
        <v>-80</v>
      </c>
      <c r="R2155" t="n">
        <v>0.2993</v>
      </c>
      <c r="S2155">
        <f>IMAGE("https://mitra.stanford.edu/kundaje/oak/projects/neuro-variants/variant_position/credible/roussos_2024/variant_figures/roussos_2024.infant.GLU/rs7599488_count_position.png",4,220,900)</f>
        <v/>
      </c>
      <c r="T2155">
        <f>IMAGE("https://mitra.stanford.edu/kundaje/oak/projects/neuro-variants/variant_position/credible/roussos_2024/variant_figures/roussos_2024.infant.GLU/rs7599488_profile_position.png",4,220,900)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0.008529030288000001</v>
      </c>
      <c r="G2156" t="n">
        <v>0.6812174467858723</v>
      </c>
      <c r="H2156" t="n">
        <v>0.0316700324699255</v>
      </c>
      <c r="I2156" t="n">
        <v>0.0481578060916298</v>
      </c>
      <c r="J2156" t="n">
        <v>0.0531327851143102</v>
      </c>
      <c r="K2156" t="n">
        <v>0.3314248592323972</v>
      </c>
      <c r="L2156" t="b">
        <v>0</v>
      </c>
      <c r="M2156" t="b">
        <v>0</v>
      </c>
      <c r="N2156" t="inlineStr">
        <is>
          <t>alt</t>
        </is>
      </c>
      <c r="O2156" t="n">
        <v>55</v>
      </c>
      <c r="P2156" t="n">
        <v>0.00371</v>
      </c>
      <c r="Q2156" t="n">
        <v>85</v>
      </c>
      <c r="R2156" t="n">
        <v>0.0364</v>
      </c>
      <c r="S2156">
        <f>IMAGE("https://mitra.stanford.edu/kundaje/oak/projects/neuro-variants/variant_position/credible/roussos_2024/variant_figures/roussos_2024.infant.GLU/rs766432_count_position.png",4,220,900)</f>
        <v/>
      </c>
      <c r="T2156">
        <f>IMAGE("https://mitra.stanford.edu/kundaje/oak/projects/neuro-variants/variant_position/credible/roussos_2024/variant_figures/roussos_2024.infant.GLU/rs766432_profile_position.png",4,220,900)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0.1149645812</v>
      </c>
      <c r="G2157" t="n">
        <v>0.0394266862413844</v>
      </c>
      <c r="H2157" t="n">
        <v>0.0177868274893557</v>
      </c>
      <c r="I2157" t="n">
        <v>0.2516912601127621</v>
      </c>
      <c r="J2157" t="n">
        <v>0.0043155713309375</v>
      </c>
      <c r="K2157" t="n">
        <v>0.8037031716911901</v>
      </c>
      <c r="L2157" t="b">
        <v>0</v>
      </c>
      <c r="M2157" t="b">
        <v>0</v>
      </c>
      <c r="N2157" t="inlineStr">
        <is>
          <t>alt</t>
        </is>
      </c>
      <c r="O2157" t="n">
        <v>10</v>
      </c>
      <c r="P2157" t="n">
        <v>0.00506</v>
      </c>
      <c r="Q2157" t="n">
        <v>100</v>
      </c>
      <c r="R2157" t="n">
        <v>0.07820000000000001</v>
      </c>
      <c r="S2157">
        <f>IMAGE("https://mitra.stanford.edu/kundaje/oak/projects/neuro-variants/variant_position/credible/roussos_2024/variant_figures/roussos_2024.infant.GLU/rs12328348_count_position.png",4,220,900)</f>
        <v/>
      </c>
      <c r="T2157">
        <f>IMAGE("https://mitra.stanford.edu/kundaje/oak/projects/neuro-variants/variant_position/credible/roussos_2024/variant_figures/roussos_2024.infant.GLU/rs12328348_profile_position.png",4,220,900)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-0.0248226915999999</v>
      </c>
      <c r="G2158" t="n">
        <v>0.3819431014538351</v>
      </c>
      <c r="H2158" t="n">
        <v>0.009596924462490801</v>
      </c>
      <c r="I2158" t="n">
        <v>0.7548672136221468</v>
      </c>
      <c r="J2158" t="n">
        <v>0.0592638726603319</v>
      </c>
      <c r="K2158" t="n">
        <v>0.3054467995202493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0.006607</v>
      </c>
      <c r="Q2158" t="n">
        <v>85</v>
      </c>
      <c r="R2158" t="n">
        <v>0.1102</v>
      </c>
      <c r="S2158">
        <f>IMAGE("https://mitra.stanford.edu/kundaje/oak/projects/neuro-variants/variant_position/credible/roussos_2024/variant_figures/roussos_2024.infant.GLU/rs356998_count_position.png",4,220,900)</f>
        <v/>
      </c>
      <c r="T2158">
        <f>IMAGE("https://mitra.stanford.edu/kundaje/oak/projects/neuro-variants/variant_position/credible/roussos_2024/variant_figures/roussos_2024.infant.GLU/rs356998_profile_position.png",4,220,900)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-0.0976499654</v>
      </c>
      <c r="G2159" t="n">
        <v>0.0563021287422184</v>
      </c>
      <c r="H2159" t="n">
        <v>0.025784138697534</v>
      </c>
      <c r="I2159" t="n">
        <v>0.09402762182285609</v>
      </c>
      <c r="J2159" t="n">
        <v>0.0262990806675631</v>
      </c>
      <c r="K2159" t="n">
        <v>0.4834276277826109</v>
      </c>
      <c r="L2159" t="b">
        <v>0</v>
      </c>
      <c r="M2159" t="b">
        <v>0</v>
      </c>
      <c r="N2159" t="inlineStr">
        <is>
          <t>ref</t>
        </is>
      </c>
      <c r="O2159" t="n">
        <v>-100</v>
      </c>
      <c r="P2159" t="n">
        <v>0.102</v>
      </c>
      <c r="Q2159" t="n">
        <v>100</v>
      </c>
      <c r="R2159" t="n">
        <v>0.05106</v>
      </c>
      <c r="S2159">
        <f>IMAGE("https://mitra.stanford.edu/kundaje/oak/projects/neuro-variants/variant_position/credible/roussos_2024/variant_figures/roussos_2024.infant.GLU/rs55710238_count_position.png",4,220,900)</f>
        <v/>
      </c>
      <c r="T2159">
        <f>IMAGE("https://mitra.stanford.edu/kundaje/oak/projects/neuro-variants/variant_position/credible/roussos_2024/variant_figures/roussos_2024.infant.GLU/rs55710238_profile_position.png",4,220,900)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0.0304346811399999</v>
      </c>
      <c r="G2160" t="n">
        <v>0.338280303255698</v>
      </c>
      <c r="H2160" t="n">
        <v>0.0125724845950838</v>
      </c>
      <c r="I2160" t="n">
        <v>0.516693805862648</v>
      </c>
      <c r="J2160" t="n">
        <v>0.0545691042571484</v>
      </c>
      <c r="K2160" t="n">
        <v>0.3373522294320593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0.03302</v>
      </c>
      <c r="Q2160" t="n">
        <v>95</v>
      </c>
      <c r="R2160" t="n">
        <v>0.177</v>
      </c>
      <c r="S2160">
        <f>IMAGE("https://mitra.stanford.edu/kundaje/oak/projects/neuro-variants/variant_position/credible/roussos_2024/variant_figures/roussos_2024.infant.GLU/rs34419497_count_position.png",4,220,900)</f>
        <v/>
      </c>
      <c r="T2160">
        <f>IMAGE("https://mitra.stanford.edu/kundaje/oak/projects/neuro-variants/variant_position/credible/roussos_2024/variant_figures/roussos_2024.infant.GLU/rs34419497_profile_position.png",4,220,900)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-0.00422671808</v>
      </c>
      <c r="G2161" t="n">
        <v>0.5931920760138146</v>
      </c>
      <c r="H2161" t="n">
        <v>0.0304409107833966</v>
      </c>
      <c r="I2161" t="n">
        <v>0.0547448396176453</v>
      </c>
      <c r="J2161" t="n">
        <v>0.013210167772658</v>
      </c>
      <c r="K2161" t="n">
        <v>0.6126728950625767</v>
      </c>
      <c r="L2161" t="b">
        <v>0</v>
      </c>
      <c r="M2161" t="b">
        <v>0</v>
      </c>
      <c r="N2161" t="inlineStr">
        <is>
          <t>ref</t>
        </is>
      </c>
      <c r="O2161" t="n">
        <v>70</v>
      </c>
      <c r="P2161" t="n">
        <v>0.010376</v>
      </c>
      <c r="Q2161" t="n">
        <v>-90</v>
      </c>
      <c r="R2161" t="n">
        <v>0.1022</v>
      </c>
      <c r="S2161">
        <f>IMAGE("https://mitra.stanford.edu/kundaje/oak/projects/neuro-variants/variant_position/credible/roussos_2024/variant_figures/roussos_2024.infant.GLU/rs1430346_count_position.png",4,220,900)</f>
        <v/>
      </c>
      <c r="T2161">
        <f>IMAGE("https://mitra.stanford.edu/kundaje/oak/projects/neuro-variants/variant_position/credible/roussos_2024/variant_figures/roussos_2024.infant.GLU/rs1430346_profile_position.png",4,220,900)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-0.0587551046</v>
      </c>
      <c r="G2162" t="n">
        <v>0.1445022198430669</v>
      </c>
      <c r="H2162" t="n">
        <v>0.0179985965343313</v>
      </c>
      <c r="I2162" t="n">
        <v>0.2363284253928928</v>
      </c>
      <c r="J2162" t="n">
        <v>0.0206441940959897</v>
      </c>
      <c r="K2162" t="n">
        <v>0.533452445708645</v>
      </c>
      <c r="L2162" t="b">
        <v>0</v>
      </c>
      <c r="M2162" t="b">
        <v>0</v>
      </c>
      <c r="N2162" t="inlineStr">
        <is>
          <t>ref</t>
        </is>
      </c>
      <c r="O2162" t="n">
        <v>95</v>
      </c>
      <c r="P2162" t="n">
        <v>0.01196</v>
      </c>
      <c r="Q2162" t="n">
        <v>-80</v>
      </c>
      <c r="R2162" t="n">
        <v>0.06244</v>
      </c>
      <c r="S2162">
        <f>IMAGE("https://mitra.stanford.edu/kundaje/oak/projects/neuro-variants/variant_position/credible/roussos_2024/variant_figures/roussos_2024.infant.GLU/rs60796597_count_position.png",4,220,900)</f>
        <v/>
      </c>
      <c r="T2162">
        <f>IMAGE("https://mitra.stanford.edu/kundaje/oak/projects/neuro-variants/variant_position/credible/roussos_2024/variant_figures/roussos_2024.infant.GLU/rs60796597_profile_position.png",4,220,900)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-0.0551535564</v>
      </c>
      <c r="G2163" t="n">
        <v>0.1494662333299069</v>
      </c>
      <c r="H2163" t="n">
        <v>0.009921105663602801</v>
      </c>
      <c r="I2163" t="n">
        <v>0.7095921748818176</v>
      </c>
      <c r="J2163" t="n">
        <v>0.1904429109989197</v>
      </c>
      <c r="K2163" t="n">
        <v>0.1127624253282525</v>
      </c>
      <c r="L2163" t="b">
        <v>0</v>
      </c>
      <c r="M2163" t="b">
        <v>0</v>
      </c>
      <c r="N2163" t="inlineStr">
        <is>
          <t>ref</t>
        </is>
      </c>
      <c r="O2163" t="n">
        <v>-85</v>
      </c>
      <c r="P2163" t="n">
        <v>0.02826</v>
      </c>
      <c r="Q2163" t="n">
        <v>-100</v>
      </c>
      <c r="R2163" t="n">
        <v>0.2241</v>
      </c>
      <c r="S2163">
        <f>IMAGE("https://mitra.stanford.edu/kundaje/oak/projects/neuro-variants/variant_position/credible/roussos_2024/variant_figures/roussos_2024.infant.GLU/rs7604588_count_position.png",4,220,900)</f>
        <v/>
      </c>
      <c r="T2163">
        <f>IMAGE("https://mitra.stanford.edu/kundaje/oak/projects/neuro-variants/variant_position/credible/roussos_2024/variant_figures/roussos_2024.infant.GLU/rs7604588_profile_position.png",4,220,900)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-0.0410769607999999</v>
      </c>
      <c r="G2164" t="n">
        <v>0.2332945235180861</v>
      </c>
      <c r="H2164" t="n">
        <v>0.0324800163475297</v>
      </c>
      <c r="I2164" t="n">
        <v>0.0440775416347359</v>
      </c>
      <c r="J2164" t="n">
        <v>0.0331841530897946</v>
      </c>
      <c r="K2164" t="n">
        <v>0.4285521072025385</v>
      </c>
      <c r="L2164" t="b">
        <v>0</v>
      </c>
      <c r="M2164" t="b">
        <v>0</v>
      </c>
      <c r="N2164" t="inlineStr">
        <is>
          <t>ref</t>
        </is>
      </c>
      <c r="O2164" t="n">
        <v>70</v>
      </c>
      <c r="P2164" t="n">
        <v>0.01404</v>
      </c>
      <c r="Q2164" t="n">
        <v>-95</v>
      </c>
      <c r="R2164" t="n">
        <v>0.1882</v>
      </c>
      <c r="S2164">
        <f>IMAGE("https://mitra.stanford.edu/kundaje/oak/projects/neuro-variants/variant_position/credible/roussos_2024/variant_figures/roussos_2024.infant.GLU/rs6546822_count_position.png",4,220,900)</f>
        <v/>
      </c>
      <c r="T2164">
        <f>IMAGE("https://mitra.stanford.edu/kundaje/oak/projects/neuro-variants/variant_position/credible/roussos_2024/variant_figures/roussos_2024.infant.GLU/rs6546822_profile_position.png",4,220,900)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-0.01099130066</v>
      </c>
      <c r="G2165" t="n">
        <v>0.418025470256258</v>
      </c>
      <c r="H2165" t="n">
        <v>0.0130691116710197</v>
      </c>
      <c r="I2165" t="n">
        <v>0.4778841892731726</v>
      </c>
      <c r="J2165" t="n">
        <v>0.0341619083313123</v>
      </c>
      <c r="K2165" t="n">
        <v>0.4344317834994487</v>
      </c>
      <c r="L2165" t="b">
        <v>0</v>
      </c>
      <c r="M2165" t="b">
        <v>0</v>
      </c>
      <c r="N2165" t="inlineStr">
        <is>
          <t>ref</t>
        </is>
      </c>
      <c r="O2165" t="n">
        <v>-30</v>
      </c>
      <c r="P2165" t="n">
        <v>0.007107</v>
      </c>
      <c r="Q2165" t="n">
        <v>45</v>
      </c>
      <c r="R2165" t="n">
        <v>0.05103</v>
      </c>
      <c r="S2165">
        <f>IMAGE("https://mitra.stanford.edu/kundaje/oak/projects/neuro-variants/variant_position/credible/roussos_2024/variant_figures/roussos_2024.infant.GLU/rs1522926_count_position.png",4,220,900)</f>
        <v/>
      </c>
      <c r="T2165">
        <f>IMAGE("https://mitra.stanford.edu/kundaje/oak/projects/neuro-variants/variant_position/credible/roussos_2024/variant_figures/roussos_2024.infant.GLU/rs1522926_profile_position.png",4,220,900)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-0.009382030499999999</v>
      </c>
      <c r="G2166" t="n">
        <v>0.6193121162597907</v>
      </c>
      <c r="H2166" t="n">
        <v>0.0180426542763373</v>
      </c>
      <c r="I2166" t="n">
        <v>0.2520957739300675</v>
      </c>
      <c r="J2166" t="n">
        <v>0.0102019444873122</v>
      </c>
      <c r="K2166" t="n">
        <v>0.6606918343487536</v>
      </c>
      <c r="L2166" t="b">
        <v>0</v>
      </c>
      <c r="M2166" t="b">
        <v>0</v>
      </c>
      <c r="N2166" t="inlineStr">
        <is>
          <t>ref</t>
        </is>
      </c>
      <c r="O2166" t="n">
        <v>100</v>
      </c>
      <c r="P2166" t="n">
        <v>0.00201</v>
      </c>
      <c r="Q2166" t="n">
        <v>90</v>
      </c>
      <c r="R2166" t="n">
        <v>0.06165</v>
      </c>
      <c r="S2166">
        <f>IMAGE("https://mitra.stanford.edu/kundaje/oak/projects/neuro-variants/variant_position/credible/roussos_2024/variant_figures/roussos_2024.infant.GLU/rs6546827_count_position.png",4,220,900)</f>
        <v/>
      </c>
      <c r="T2166">
        <f>IMAGE("https://mitra.stanford.edu/kundaje/oak/projects/neuro-variants/variant_position/credible/roussos_2024/variant_figures/roussos_2024.infant.GLU/rs6546827_profile_position.png",4,220,900)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0.0157457065</v>
      </c>
      <c r="G2167" t="n">
        <v>0.4578677819993514</v>
      </c>
      <c r="H2167" t="n">
        <v>0.0521805578706217</v>
      </c>
      <c r="I2167" t="n">
        <v>0.0062658052104983</v>
      </c>
      <c r="J2167" t="n">
        <v>0.0046109923058268</v>
      </c>
      <c r="K2167" t="n">
        <v>0.760563311180293</v>
      </c>
      <c r="L2167" t="b">
        <v>0</v>
      </c>
      <c r="M2167" t="b">
        <v>0</v>
      </c>
      <c r="N2167" t="inlineStr">
        <is>
          <t>alt</t>
        </is>
      </c>
      <c r="O2167" t="n">
        <v>-25</v>
      </c>
      <c r="P2167" t="n">
        <v>0.002441</v>
      </c>
      <c r="Q2167" t="n">
        <v>95</v>
      </c>
      <c r="R2167" t="n">
        <v>0.0323</v>
      </c>
      <c r="S2167">
        <f>IMAGE("https://mitra.stanford.edu/kundaje/oak/projects/neuro-variants/variant_position/credible/roussos_2024/variant_figures/roussos_2024.infant.GLU/rs56672945_count_position.png",4,220,900)</f>
        <v/>
      </c>
      <c r="T2167">
        <f>IMAGE("https://mitra.stanford.edu/kundaje/oak/projects/neuro-variants/variant_position/credible/roussos_2024/variant_figures/roussos_2024.infant.GLU/rs56672945_profile_position.png",4,220,900)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-0.0289009534</v>
      </c>
      <c r="G2168" t="n">
        <v>0.334806284715657</v>
      </c>
      <c r="H2168" t="n">
        <v>0.0439667525336094</v>
      </c>
      <c r="I2168" t="n">
        <v>0.0137646512501393</v>
      </c>
      <c r="J2168" t="n">
        <v>0.0003406159747789</v>
      </c>
      <c r="K2168" t="n">
        <v>0.9483330675239516</v>
      </c>
      <c r="L2168" t="b">
        <v>0</v>
      </c>
      <c r="M2168" t="b">
        <v>0</v>
      </c>
      <c r="N2168" t="inlineStr">
        <is>
          <t>ref</t>
        </is>
      </c>
      <c r="O2168" t="n">
        <v>-90</v>
      </c>
      <c r="P2168" t="n">
        <v>0.01216</v>
      </c>
      <c r="Q2168" t="n">
        <v>100</v>
      </c>
      <c r="R2168" t="n">
        <v>0.0731</v>
      </c>
      <c r="S2168">
        <f>IMAGE("https://mitra.stanford.edu/kundaje/oak/projects/neuro-variants/variant_position/credible/roussos_2024/variant_figures/roussos_2024.infant.GLU/rs10179134_count_position.png",4,220,900)</f>
        <v/>
      </c>
      <c r="T2168">
        <f>IMAGE("https://mitra.stanford.edu/kundaje/oak/projects/neuro-variants/variant_position/credible/roussos_2024/variant_figures/roussos_2024.infant.GLU/rs10179134_profile_position.png",4,220,900)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0.0701037863999999</v>
      </c>
      <c r="G2169" t="n">
        <v>0.1168491156292927</v>
      </c>
      <c r="H2169" t="n">
        <v>0.0136757654335851</v>
      </c>
      <c r="I2169" t="n">
        <v>0.4497037588709862</v>
      </c>
      <c r="J2169" t="n">
        <v>0.0672237042262836</v>
      </c>
      <c r="K2169" t="n">
        <v>0.2951781626064838</v>
      </c>
      <c r="L2169" t="b">
        <v>0</v>
      </c>
      <c r="M2169" t="b">
        <v>0</v>
      </c>
      <c r="N2169" t="inlineStr">
        <is>
          <t>alt</t>
        </is>
      </c>
      <c r="O2169" t="n">
        <v>5</v>
      </c>
      <c r="P2169" t="n">
        <v>0.002525</v>
      </c>
      <c r="Q2169" t="n">
        <v>-85</v>
      </c>
      <c r="R2169" t="n">
        <v>0.1394</v>
      </c>
      <c r="S2169">
        <f>IMAGE("https://mitra.stanford.edu/kundaje/oak/projects/neuro-variants/variant_position/credible/roussos_2024/variant_figures/roussos_2024.infant.GLU/rs6753344_count_position.png",4,220,900)</f>
        <v/>
      </c>
      <c r="T2169">
        <f>IMAGE("https://mitra.stanford.edu/kundaje/oak/projects/neuro-variants/variant_position/credible/roussos_2024/variant_figures/roussos_2024.infant.GLU/rs6753344_profile_position.png",4,220,900)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0.0139676535999999</v>
      </c>
      <c r="G2170" t="n">
        <v>0.2201244137685987</v>
      </c>
      <c r="H2170" t="n">
        <v>0.0157822221612591</v>
      </c>
      <c r="I2170" t="n">
        <v>0.3216070373596628</v>
      </c>
      <c r="J2170" t="n">
        <v>0.0585396503450251</v>
      </c>
      <c r="K2170" t="n">
        <v>0.3131207175860269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0.00631</v>
      </c>
      <c r="Q2170" t="n">
        <v>-60</v>
      </c>
      <c r="R2170" t="n">
        <v>0.0581</v>
      </c>
      <c r="S2170">
        <f>IMAGE("https://mitra.stanford.edu/kundaje/oak/projects/neuro-variants/variant_position/credible/roussos_2024/variant_figures/roussos_2024.infant.GLU/rs6546837_count_position.png",4,220,900)</f>
        <v/>
      </c>
      <c r="T2170">
        <f>IMAGE("https://mitra.stanford.edu/kundaje/oak/projects/neuro-variants/variant_position/credible/roussos_2024/variant_figures/roussos_2024.infant.GLU/rs6546837_profile_position.png",4,220,900)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0.01089228994</v>
      </c>
      <c r="G2171" t="n">
        <v>0.5834437652213262</v>
      </c>
      <c r="H2171" t="n">
        <v>0.0171647670086735</v>
      </c>
      <c r="I2171" t="n">
        <v>0.2650519215387927</v>
      </c>
      <c r="J2171" t="n">
        <v>0.0108335721686985</v>
      </c>
      <c r="K2171" t="n">
        <v>0.6505521913860505</v>
      </c>
      <c r="L2171" t="b">
        <v>0</v>
      </c>
      <c r="M2171" t="b">
        <v>0</v>
      </c>
      <c r="N2171" t="inlineStr">
        <is>
          <t>alt</t>
        </is>
      </c>
      <c r="O2171" t="n">
        <v>40</v>
      </c>
      <c r="P2171" t="n">
        <v>0.011024</v>
      </c>
      <c r="Q2171" t="n">
        <v>-40</v>
      </c>
      <c r="R2171" t="n">
        <v>0.05408</v>
      </c>
      <c r="S2171">
        <f>IMAGE("https://mitra.stanford.edu/kundaje/oak/projects/neuro-variants/variant_position/credible/roussos_2024/variant_figures/roussos_2024.infant.GLU/rs62151652_count_position.png",4,220,900)</f>
        <v/>
      </c>
      <c r="T2171">
        <f>IMAGE("https://mitra.stanford.edu/kundaje/oak/projects/neuro-variants/variant_position/credible/roussos_2024/variant_figures/roussos_2024.infant.GLU/rs62151652_profile_position.png",4,220,900)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0.0326302532</v>
      </c>
      <c r="G2172" t="n">
        <v>0.2868883447950398</v>
      </c>
      <c r="H2172" t="n">
        <v>0.009916943804297701</v>
      </c>
      <c r="I2172" t="n">
        <v>0.7264859061117928</v>
      </c>
      <c r="J2172" t="n">
        <v>0.1428525761149936</v>
      </c>
      <c r="K2172" t="n">
        <v>0.1511110552106836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0.0481</v>
      </c>
      <c r="Q2172" t="n">
        <v>-55</v>
      </c>
      <c r="R2172" t="n">
        <v>0.0597</v>
      </c>
      <c r="S2172">
        <f>IMAGE("https://mitra.stanford.edu/kundaje/oak/projects/neuro-variants/variant_position/credible/roussos_2024/variant_figures/roussos_2024.infant.GLU/rs10195357_count_position.png",4,220,900)</f>
        <v/>
      </c>
      <c r="T2172">
        <f>IMAGE("https://mitra.stanford.edu/kundaje/oak/projects/neuro-variants/variant_position/credible/roussos_2024/variant_figures/roussos_2024.infant.GLU/rs10195357_profile_position.png",4,220,900)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-0.0161811056</v>
      </c>
      <c r="G2173" t="n">
        <v>0.5113757463777606</v>
      </c>
      <c r="H2173" t="n">
        <v>0.038485739915204</v>
      </c>
      <c r="I2173" t="n">
        <v>0.0235357766756082</v>
      </c>
      <c r="J2173" t="n">
        <v>0.0130845036266231</v>
      </c>
      <c r="K2173" t="n">
        <v>0.6283510286154241</v>
      </c>
      <c r="L2173" t="b">
        <v>0</v>
      </c>
      <c r="M2173" t="b">
        <v>0</v>
      </c>
      <c r="N2173" t="inlineStr">
        <is>
          <t>ref</t>
        </is>
      </c>
      <c r="O2173" t="n">
        <v>100</v>
      </c>
      <c r="P2173" t="n">
        <v>0.2732</v>
      </c>
      <c r="Q2173" t="n">
        <v>100</v>
      </c>
      <c r="R2173" t="n">
        <v>0.0742</v>
      </c>
      <c r="S2173">
        <f>IMAGE("https://mitra.stanford.edu/kundaje/oak/projects/neuro-variants/variant_position/credible/roussos_2024/variant_figures/roussos_2024.infant.GLU/rs13421462_count_position.png",4,220,900)</f>
        <v/>
      </c>
      <c r="T2173">
        <f>IMAGE("https://mitra.stanford.edu/kundaje/oak/projects/neuro-variants/variant_position/credible/roussos_2024/variant_figures/roussos_2024.infant.GLU/rs13421462_profile_position.png",4,220,900)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0.1067155499999999</v>
      </c>
      <c r="G2174" t="n">
        <v>0.0486970185621502</v>
      </c>
      <c r="H2174" t="n">
        <v>0.028090926689749</v>
      </c>
      <c r="I2174" t="n">
        <v>0.07214392770371771</v>
      </c>
      <c r="J2174" t="n">
        <v>0.0125234242377476</v>
      </c>
      <c r="K2174" t="n">
        <v>0.6210137035816484</v>
      </c>
      <c r="L2174" t="b">
        <v>0</v>
      </c>
      <c r="M2174" t="b">
        <v>0</v>
      </c>
      <c r="N2174" t="inlineStr">
        <is>
          <t>alt</t>
        </is>
      </c>
      <c r="O2174" t="n">
        <v>-95</v>
      </c>
      <c r="P2174" t="n">
        <v>0.306</v>
      </c>
      <c r="Q2174" t="n">
        <v>-90</v>
      </c>
      <c r="R2174" t="n">
        <v>0.0798</v>
      </c>
      <c r="S2174">
        <f>IMAGE("https://mitra.stanford.edu/kundaje/oak/projects/neuro-variants/variant_position/credible/roussos_2024/variant_figures/roussos_2024.infant.GLU/rs13398956_count_position.png",4,220,900)</f>
        <v/>
      </c>
      <c r="T2174">
        <f>IMAGE("https://mitra.stanford.edu/kundaje/oak/projects/neuro-variants/variant_position/credible/roussos_2024/variant_figures/roussos_2024.infant.GLU/rs13398956_profile_position.png",4,220,900)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0.0366018746</v>
      </c>
      <c r="G2175" t="n">
        <v>0.2534481284698739</v>
      </c>
      <c r="H2175" t="n">
        <v>0.008485958332273599</v>
      </c>
      <c r="I2175" t="n">
        <v>0.853118752233316</v>
      </c>
      <c r="J2175" t="n">
        <v>0.0312319495579708</v>
      </c>
      <c r="K2175" t="n">
        <v>0.442942811095851</v>
      </c>
      <c r="L2175" t="b">
        <v>0</v>
      </c>
      <c r="M2175" t="b">
        <v>0</v>
      </c>
      <c r="N2175" t="inlineStr">
        <is>
          <t>alt</t>
        </is>
      </c>
      <c r="O2175" t="n">
        <v>70</v>
      </c>
      <c r="P2175" t="n">
        <v>0.01073</v>
      </c>
      <c r="Q2175" t="n">
        <v>-65</v>
      </c>
      <c r="R2175" t="n">
        <v>0.05692</v>
      </c>
      <c r="S2175">
        <f>IMAGE("https://mitra.stanford.edu/kundaje/oak/projects/neuro-variants/variant_position/credible/roussos_2024/variant_figures/roussos_2024.infant.GLU/rs73947808_count_position.png",4,220,900)</f>
        <v/>
      </c>
      <c r="T2175">
        <f>IMAGE("https://mitra.stanford.edu/kundaje/oak/projects/neuro-variants/variant_position/credible/roussos_2024/variant_figures/roussos_2024.infant.GLU/rs73947808_profile_position.png",4,220,900)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0.0255093044</v>
      </c>
      <c r="G2176" t="n">
        <v>0.3573844185218106</v>
      </c>
      <c r="H2176" t="n">
        <v>0.0223292229777501</v>
      </c>
      <c r="I2176" t="n">
        <v>0.137920491561231</v>
      </c>
      <c r="J2176" t="n">
        <v>0.0126160188716681</v>
      </c>
      <c r="K2176" t="n">
        <v>0.63755889517619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0.007904</v>
      </c>
      <c r="Q2176" t="n">
        <v>-75</v>
      </c>
      <c r="R2176" t="n">
        <v>0.05426</v>
      </c>
      <c r="S2176">
        <f>IMAGE("https://mitra.stanford.edu/kundaje/oak/projects/neuro-variants/variant_position/credible/roussos_2024/variant_figures/roussos_2024.infant.GLU/rs11693586_count_position.png",4,220,900)</f>
        <v/>
      </c>
      <c r="T2176">
        <f>IMAGE("https://mitra.stanford.edu/kundaje/oak/projects/neuro-variants/variant_position/credible/roussos_2024/variant_figures/roussos_2024.infant.GLU/rs11693586_profile_position.png",4,220,900)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-0.001963902108</v>
      </c>
      <c r="G2177" t="n">
        <v>0.887496444139805</v>
      </c>
      <c r="H2177" t="n">
        <v>0.0168000500638292</v>
      </c>
      <c r="I2177" t="n">
        <v>0.2783020751512456</v>
      </c>
      <c r="J2177" t="n">
        <v>0.0117760532639607</v>
      </c>
      <c r="K2177" t="n">
        <v>0.6520004277355558</v>
      </c>
      <c r="L2177" t="b">
        <v>0</v>
      </c>
      <c r="M2177" t="b">
        <v>0</v>
      </c>
      <c r="N2177" t="inlineStr">
        <is>
          <t>ref</t>
        </is>
      </c>
      <c r="O2177" t="n">
        <v>60</v>
      </c>
      <c r="P2177" t="n">
        <v>0.006844</v>
      </c>
      <c r="Q2177" t="n">
        <v>60</v>
      </c>
      <c r="R2177" t="n">
        <v>0.02147</v>
      </c>
      <c r="S2177">
        <f>IMAGE("https://mitra.stanford.edu/kundaje/oak/projects/neuro-variants/variant_position/credible/roussos_2024/variant_figures/roussos_2024.infant.GLU/rs11693588_count_position.png",4,220,900)</f>
        <v/>
      </c>
      <c r="T2177">
        <f>IMAGE("https://mitra.stanford.edu/kundaje/oak/projects/neuro-variants/variant_position/credible/roussos_2024/variant_figures/roussos_2024.infant.GLU/rs11693588_profile_position.png",4,220,900)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0.0515592068</v>
      </c>
      <c r="G2178" t="n">
        <v>0.1804608732261107</v>
      </c>
      <c r="H2178" t="n">
        <v>0.0318726737884427</v>
      </c>
      <c r="I2178" t="n">
        <v>0.0475346402152613</v>
      </c>
      <c r="J2178" t="n">
        <v>0.1551445137679401</v>
      </c>
      <c r="K2178" t="n">
        <v>0.1502683924285317</v>
      </c>
      <c r="L2178" t="b">
        <v>0</v>
      </c>
      <c r="M2178" t="b">
        <v>0</v>
      </c>
      <c r="N2178" t="inlineStr">
        <is>
          <t>alt</t>
        </is>
      </c>
      <c r="O2178" t="n">
        <v>0</v>
      </c>
      <c r="P2178" t="n">
        <v>0</v>
      </c>
      <c r="Q2178" t="n">
        <v>-75</v>
      </c>
      <c r="R2178" t="n">
        <v>0.0327</v>
      </c>
      <c r="S2178">
        <f>IMAGE("https://mitra.stanford.edu/kundaje/oak/projects/neuro-variants/variant_position/credible/roussos_2024/variant_figures/roussos_2024.infant.GLU/rs6711033_count_position.png",4,220,900)</f>
        <v/>
      </c>
      <c r="T2178">
        <f>IMAGE("https://mitra.stanford.edu/kundaje/oak/projects/neuro-variants/variant_position/credible/roussos_2024/variant_figures/roussos_2024.infant.GLU/rs6711033_profile_position.png",4,220,900)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0.061237836</v>
      </c>
      <c r="G2179" t="n">
        <v>0.1282384916318202</v>
      </c>
      <c r="H2179" t="n">
        <v>0.0207182554786097</v>
      </c>
      <c r="I2179" t="n">
        <v>0.1723736619840927</v>
      </c>
      <c r="J2179" t="n">
        <v>0.205553473401089</v>
      </c>
      <c r="K2179" t="n">
        <v>0.1105891165011478</v>
      </c>
      <c r="L2179" t="b">
        <v>0</v>
      </c>
      <c r="M2179" t="b">
        <v>0</v>
      </c>
      <c r="N2179" t="inlineStr">
        <is>
          <t>alt</t>
        </is>
      </c>
      <c r="O2179" t="n">
        <v>-100</v>
      </c>
      <c r="P2179" t="n">
        <v>0.01526</v>
      </c>
      <c r="Q2179" t="n">
        <v>100</v>
      </c>
      <c r="R2179" t="n">
        <v>0.3193</v>
      </c>
      <c r="S2179">
        <f>IMAGE("https://mitra.stanford.edu/kundaje/oak/projects/neuro-variants/variant_position/credible/roussos_2024/variant_figures/roussos_2024.infant.GLU/rs11884776_count_position.png",4,220,900)</f>
        <v/>
      </c>
      <c r="T2179">
        <f>IMAGE("https://mitra.stanford.edu/kundaje/oak/projects/neuro-variants/variant_position/credible/roussos_2024/variant_figures/roussos_2024.infant.GLU/rs11884776_profile_position.png",4,220,900)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-0.0293675606</v>
      </c>
      <c r="G2180" t="n">
        <v>0.3322057929887316</v>
      </c>
      <c r="H2180" t="n">
        <v>0.0630504662293481</v>
      </c>
      <c r="I2180" t="n">
        <v>0.002366075238304</v>
      </c>
      <c r="J2180" t="n">
        <v>0.0287947265151347</v>
      </c>
      <c r="K2180" t="n">
        <v>0.475359777234422</v>
      </c>
      <c r="L2180" t="b">
        <v>1</v>
      </c>
      <c r="M2180" t="b">
        <v>0</v>
      </c>
      <c r="N2180" t="inlineStr">
        <is>
          <t>ref</t>
        </is>
      </c>
      <c r="O2180" t="n">
        <v>45</v>
      </c>
      <c r="P2180" t="n">
        <v>0.01001</v>
      </c>
      <c r="Q2180" t="n">
        <v>-65</v>
      </c>
      <c r="R2180" t="n">
        <v>0.03072</v>
      </c>
      <c r="S2180">
        <f>IMAGE("https://mitra.stanford.edu/kundaje/oak/projects/neuro-variants/variant_position/credible/roussos_2024/variant_figures/roussos_2024.infant.GLU/rs6719753_count_position.png",4,220,900)</f>
        <v/>
      </c>
      <c r="T2180">
        <f>IMAGE("https://mitra.stanford.edu/kundaje/oak/projects/neuro-variants/variant_position/credible/roussos_2024/variant_figures/roussos_2024.infant.GLU/rs6719753_profile_position.png",4,220,900)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-0.06761682919999989</v>
      </c>
      <c r="G2181" t="n">
        <v>0.1076487784178181</v>
      </c>
      <c r="H2181" t="n">
        <v>0.0149481138117628</v>
      </c>
      <c r="I2181" t="n">
        <v>0.3618205178964794</v>
      </c>
      <c r="J2181" t="n">
        <v>0.0357768028395687</v>
      </c>
      <c r="K2181" t="n">
        <v>0.4116690528441036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0.0147</v>
      </c>
      <c r="Q2181" t="n">
        <v>75</v>
      </c>
      <c r="R2181" t="n">
        <v>0.1433</v>
      </c>
      <c r="S2181">
        <f>IMAGE("https://mitra.stanford.edu/kundaje/oak/projects/neuro-variants/variant_position/credible/roussos_2024/variant_figures/roussos_2024.infant.GLU/rs13409668_count_position.png",4,220,900)</f>
        <v/>
      </c>
      <c r="T2181">
        <f>IMAGE("https://mitra.stanford.edu/kundaje/oak/projects/neuro-variants/variant_position/credible/roussos_2024/variant_figures/roussos_2024.infant.GLU/rs13409668_profile_position.png",4,220,900)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-0.07936359599999999</v>
      </c>
      <c r="G2182" t="n">
        <v>0.0806977529789638</v>
      </c>
      <c r="H2182" t="n">
        <v>0.0159364472470765</v>
      </c>
      <c r="I2182" t="n">
        <v>0.3246626878803565</v>
      </c>
      <c r="J2182" t="n">
        <v>0.0056780352300535</v>
      </c>
      <c r="K2182" t="n">
        <v>0.7460508516376227</v>
      </c>
      <c r="L2182" t="b">
        <v>0</v>
      </c>
      <c r="M2182" t="b">
        <v>0</v>
      </c>
      <c r="N2182" t="inlineStr">
        <is>
          <t>ref</t>
        </is>
      </c>
      <c r="O2182" t="n">
        <v>45</v>
      </c>
      <c r="P2182" t="n">
        <v>0.00433</v>
      </c>
      <c r="Q2182" t="n">
        <v>-95</v>
      </c>
      <c r="R2182" t="n">
        <v>0.03552</v>
      </c>
      <c r="S2182">
        <f>IMAGE("https://mitra.stanford.edu/kundaje/oak/projects/neuro-variants/variant_position/credible/roussos_2024/variant_figures/roussos_2024.infant.GLU/rs7566385_count_position.png",4,220,900)</f>
        <v/>
      </c>
      <c r="T2182">
        <f>IMAGE("https://mitra.stanford.edu/kundaje/oak/projects/neuro-variants/variant_position/credible/roussos_2024/variant_figures/roussos_2024.infant.GLU/rs7566385_profile_position.png",4,220,900)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0.1131554559999999</v>
      </c>
      <c r="G2183" t="n">
        <v>0.044913392219704</v>
      </c>
      <c r="H2183" t="n">
        <v>0.0379085066528251</v>
      </c>
      <c r="I2183" t="n">
        <v>0.0250472323517152</v>
      </c>
      <c r="J2183" t="n">
        <v>0.0367810136907779</v>
      </c>
      <c r="K2183" t="n">
        <v>0.4057855456863306</v>
      </c>
      <c r="L2183" t="b">
        <v>0</v>
      </c>
      <c r="M2183" t="b">
        <v>0</v>
      </c>
      <c r="N2183" t="inlineStr">
        <is>
          <t>alt</t>
        </is>
      </c>
      <c r="O2183" t="n">
        <v>30</v>
      </c>
      <c r="P2183" t="n">
        <v>0.001953</v>
      </c>
      <c r="Q2183" t="n">
        <v>0</v>
      </c>
      <c r="R2183" t="n">
        <v>0</v>
      </c>
      <c r="S2183">
        <f>IMAGE("https://mitra.stanford.edu/kundaje/oak/projects/neuro-variants/variant_position/credible/roussos_2024/variant_figures/roussos_2024.infant.GLU/rs13431267_count_position.png",4,220,900)</f>
        <v/>
      </c>
      <c r="T2183">
        <f>IMAGE("https://mitra.stanford.edu/kundaje/oak/projects/neuro-variants/variant_position/credible/roussos_2024/variant_figures/roussos_2024.infant.GLU/rs13431267_profile_position.png",4,220,900)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0.00812671054</v>
      </c>
      <c r="G2184" t="n">
        <v>0.5664667433652065</v>
      </c>
      <c r="H2184" t="n">
        <v>0.0193471028370447</v>
      </c>
      <c r="I2184" t="n">
        <v>0.1991000965712374</v>
      </c>
      <c r="J2184" t="n">
        <v>0.0792565973676668</v>
      </c>
      <c r="K2184" t="n">
        <v>0.2469927952800144</v>
      </c>
      <c r="L2184" t="b">
        <v>0</v>
      </c>
      <c r="M2184" t="b">
        <v>0</v>
      </c>
      <c r="N2184" t="inlineStr">
        <is>
          <t>alt</t>
        </is>
      </c>
      <c r="O2184" t="n">
        <v>-5</v>
      </c>
      <c r="P2184" t="n">
        <v>0.000801</v>
      </c>
      <c r="Q2184" t="n">
        <v>95</v>
      </c>
      <c r="R2184" t="n">
        <v>0.1711</v>
      </c>
      <c r="S2184">
        <f>IMAGE("https://mitra.stanford.edu/kundaje/oak/projects/neuro-variants/variant_position/credible/roussos_2024/variant_figures/roussos_2024.infant.GLU/rs7604682_count_position.png",4,220,900)</f>
        <v/>
      </c>
      <c r="T2184">
        <f>IMAGE("https://mitra.stanford.edu/kundaje/oak/projects/neuro-variants/variant_position/credible/roussos_2024/variant_figures/roussos_2024.infant.GLU/rs7604682_profile_position.png",4,220,900)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0.13887226</v>
      </c>
      <c r="G2185" t="n">
        <v>0.0254356948925788</v>
      </c>
      <c r="H2185" t="n">
        <v>0.0199273993574707</v>
      </c>
      <c r="I2185" t="n">
        <v>0.1872553531657705</v>
      </c>
      <c r="J2185" t="n">
        <v>0.1411505985581692</v>
      </c>
      <c r="K2185" t="n">
        <v>0.1520351314529489</v>
      </c>
      <c r="L2185" t="b">
        <v>0</v>
      </c>
      <c r="M2185" t="b">
        <v>0</v>
      </c>
      <c r="N2185" t="inlineStr">
        <is>
          <t>alt</t>
        </is>
      </c>
      <c r="O2185" t="n">
        <v>-25</v>
      </c>
      <c r="P2185" t="n">
        <v>0.002838</v>
      </c>
      <c r="Q2185" t="n">
        <v>60</v>
      </c>
      <c r="R2185" t="n">
        <v>0.02417</v>
      </c>
      <c r="S2185">
        <f>IMAGE("https://mitra.stanford.edu/kundaje/oak/projects/neuro-variants/variant_position/credible/roussos_2024/variant_figures/roussos_2024.infant.GLU/rs7580750_count_position.png",4,220,900)</f>
        <v/>
      </c>
      <c r="T2185">
        <f>IMAGE("https://mitra.stanford.edu/kundaje/oak/projects/neuro-variants/variant_position/credible/roussos_2024/variant_figures/roussos_2024.infant.GLU/rs7580750_profile_position.png",4,220,900)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-0.0127670091999999</v>
      </c>
      <c r="G2186" t="n">
        <v>0.5798264005376612</v>
      </c>
      <c r="H2186" t="n">
        <v>0.0312053337551474</v>
      </c>
      <c r="I2186" t="n">
        <v>0.0504744918469728</v>
      </c>
      <c r="J2186" t="n">
        <v>0.0197733636103088</v>
      </c>
      <c r="K2186" t="n">
        <v>0.5467428735050864</v>
      </c>
      <c r="L2186" t="b">
        <v>0</v>
      </c>
      <c r="M2186" t="b">
        <v>0</v>
      </c>
      <c r="N2186" t="inlineStr">
        <is>
          <t>ref</t>
        </is>
      </c>
      <c r="O2186" t="n">
        <v>70</v>
      </c>
      <c r="P2186" t="n">
        <v>0.0687</v>
      </c>
      <c r="Q2186" t="n">
        <v>90</v>
      </c>
      <c r="R2186" t="n">
        <v>0.0781</v>
      </c>
      <c r="S2186">
        <f>IMAGE("https://mitra.stanford.edu/kundaje/oak/projects/neuro-variants/variant_position/credible/roussos_2024/variant_figures/roussos_2024.infant.GLU/rs6735946_count_position.png",4,220,900)</f>
        <v/>
      </c>
      <c r="T2186">
        <f>IMAGE("https://mitra.stanford.edu/kundaje/oak/projects/neuro-variants/variant_position/credible/roussos_2024/variant_figures/roussos_2024.infant.GLU/rs6735946_profile_position.png",4,220,900)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-0.0027901006799999</v>
      </c>
      <c r="G2187" t="n">
        <v>0.6498275668675744</v>
      </c>
      <c r="H2187" t="n">
        <v>0.0097587208288704</v>
      </c>
      <c r="I2187" t="n">
        <v>0.7525047103250754</v>
      </c>
      <c r="J2187" t="n">
        <v>0.0119028197270662</v>
      </c>
      <c r="K2187" t="n">
        <v>0.6469077781595775</v>
      </c>
      <c r="L2187" t="b">
        <v>0</v>
      </c>
      <c r="M2187" t="b">
        <v>0</v>
      </c>
      <c r="N2187" t="inlineStr">
        <is>
          <t>ref</t>
        </is>
      </c>
      <c r="O2187" t="n">
        <v>-95</v>
      </c>
      <c r="P2187" t="n">
        <v>0.04672</v>
      </c>
      <c r="Q2187" t="n">
        <v>-100</v>
      </c>
      <c r="R2187" t="n">
        <v>0.1624</v>
      </c>
      <c r="S2187">
        <f>IMAGE("https://mitra.stanford.edu/kundaje/oak/projects/neuro-variants/variant_position/credible/roussos_2024/variant_figures/roussos_2024.infant.GLU/rs10197755_count_position.png",4,220,900)</f>
        <v/>
      </c>
      <c r="T2187">
        <f>IMAGE("https://mitra.stanford.edu/kundaje/oak/projects/neuro-variants/variant_position/credible/roussos_2024/variant_figures/roussos_2024.infant.GLU/rs10197755_profile_position.png",4,220,900)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0.0210136454</v>
      </c>
      <c r="G2188" t="n">
        <v>0.4331085520380371</v>
      </c>
      <c r="H2188" t="n">
        <v>0.0091548263040135</v>
      </c>
      <c r="I2188" t="n">
        <v>0.8144656450880374</v>
      </c>
      <c r="J2188" t="n">
        <v>0.0314347758989395</v>
      </c>
      <c r="K2188" t="n">
        <v>0.4542319125568372</v>
      </c>
      <c r="L2188" t="b">
        <v>0</v>
      </c>
      <c r="M2188" t="b">
        <v>0</v>
      </c>
      <c r="N2188" t="inlineStr">
        <is>
          <t>alt</t>
        </is>
      </c>
      <c r="O2188" t="n">
        <v>100</v>
      </c>
      <c r="P2188" t="n">
        <v>0.04062</v>
      </c>
      <c r="Q2188" t="n">
        <v>100</v>
      </c>
      <c r="R2188" t="n">
        <v>0.08799999999999999</v>
      </c>
      <c r="S2188">
        <f>IMAGE("https://mitra.stanford.edu/kundaje/oak/projects/neuro-variants/variant_position/credible/roussos_2024/variant_figures/roussos_2024.infant.GLU/rs7583255_count_position.png",4,220,900)</f>
        <v/>
      </c>
      <c r="T2188">
        <f>IMAGE("https://mitra.stanford.edu/kundaje/oak/projects/neuro-variants/variant_position/credible/roussos_2024/variant_figures/roussos_2024.infant.GLU/rs7583255_profile_position.png",4,220,900)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0.0402731879399999</v>
      </c>
      <c r="G2189" t="n">
        <v>0.2335375265057831</v>
      </c>
      <c r="H2189" t="n">
        <v>0.0246649876287795</v>
      </c>
      <c r="I2189" t="n">
        <v>0.1045270763401301</v>
      </c>
      <c r="J2189" t="n">
        <v>0.0105326396084569</v>
      </c>
      <c r="K2189" t="n">
        <v>0.6553618552335703</v>
      </c>
      <c r="L2189" t="b">
        <v>0</v>
      </c>
      <c r="M2189" t="b">
        <v>0</v>
      </c>
      <c r="N2189" t="inlineStr">
        <is>
          <t>alt</t>
        </is>
      </c>
      <c r="O2189" t="n">
        <v>-100</v>
      </c>
      <c r="P2189" t="n">
        <v>0.02779</v>
      </c>
      <c r="Q2189" t="n">
        <v>-90</v>
      </c>
      <c r="R2189" t="n">
        <v>0.03143</v>
      </c>
      <c r="S2189">
        <f>IMAGE("https://mitra.stanford.edu/kundaje/oak/projects/neuro-variants/variant_position/credible/roussos_2024/variant_figures/roussos_2024.infant.GLU/rs7558944_count_position.png",4,220,900)</f>
        <v/>
      </c>
      <c r="T2189">
        <f>IMAGE("https://mitra.stanford.edu/kundaje/oak/projects/neuro-variants/variant_position/credible/roussos_2024/variant_figures/roussos_2024.infant.GLU/rs7558944_profile_position.png",4,220,900)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-0.00358550976</v>
      </c>
      <c r="G2190" t="n">
        <v>0.7961460912077051</v>
      </c>
      <c r="H2190" t="n">
        <v>0.009701692909325699</v>
      </c>
      <c r="I2190" t="n">
        <v>0.7588682334628084</v>
      </c>
      <c r="J2190" t="n">
        <v>0.3491170440265438</v>
      </c>
      <c r="K2190" t="n">
        <v>0.0553604770850193</v>
      </c>
      <c r="L2190" t="b">
        <v>0</v>
      </c>
      <c r="M2190" t="b">
        <v>0</v>
      </c>
      <c r="N2190" t="inlineStr">
        <is>
          <t>ref</t>
        </is>
      </c>
      <c r="O2190" t="n">
        <v>-45</v>
      </c>
      <c r="P2190" t="n">
        <v>0.07166</v>
      </c>
      <c r="Q2190" t="n">
        <v>-100</v>
      </c>
      <c r="R2190" t="n">
        <v>0.4736</v>
      </c>
      <c r="S2190">
        <f>IMAGE("https://mitra.stanford.edu/kundaje/oak/projects/neuro-variants/variant_position/credible/roussos_2024/variant_figures/roussos_2024.infant.GLU/rs11903916_count_position.png",4,220,900)</f>
        <v/>
      </c>
      <c r="T2190">
        <f>IMAGE("https://mitra.stanford.edu/kundaje/oak/projects/neuro-variants/variant_position/credible/roussos_2024/variant_figures/roussos_2024.infant.GLU/rs11903916_profile_position.png",4,220,900)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-0.0862155468</v>
      </c>
      <c r="G2191" t="n">
        <v>0.0703682719665548</v>
      </c>
      <c r="H2191" t="n">
        <v>0.0174393044073664</v>
      </c>
      <c r="I2191" t="n">
        <v>0.2590972402028422</v>
      </c>
      <c r="J2191" t="n">
        <v>0.0811955730946449</v>
      </c>
      <c r="K2191" t="n">
        <v>0.2493093600714011</v>
      </c>
      <c r="L2191" t="b">
        <v>0</v>
      </c>
      <c r="M2191" t="b">
        <v>0</v>
      </c>
      <c r="N2191" t="inlineStr">
        <is>
          <t>ref</t>
        </is>
      </c>
      <c r="O2191" t="n">
        <v>70</v>
      </c>
      <c r="P2191" t="n">
        <v>0.08813</v>
      </c>
      <c r="Q2191" t="n">
        <v>70</v>
      </c>
      <c r="R2191" t="n">
        <v>0.07837</v>
      </c>
      <c r="S2191">
        <f>IMAGE("https://mitra.stanford.edu/kundaje/oak/projects/neuro-variants/variant_position/credible/roussos_2024/variant_figures/roussos_2024.infant.GLU/rs7603647_count_position.png",4,220,900)</f>
        <v/>
      </c>
      <c r="T2191">
        <f>IMAGE("https://mitra.stanford.edu/kundaje/oak/projects/neuro-variants/variant_position/credible/roussos_2024/variant_figures/roussos_2024.infant.GLU/rs7603647_profile_position.png",4,220,900)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0.0233823097999999</v>
      </c>
      <c r="G2192" t="n">
        <v>0.3920625610061284</v>
      </c>
      <c r="H2192" t="n">
        <v>0.009858635962593801</v>
      </c>
      <c r="I2192" t="n">
        <v>0.7396343491986974</v>
      </c>
      <c r="J2192" t="n">
        <v>0.0145285389889547</v>
      </c>
      <c r="K2192" t="n">
        <v>0.5968246969911091</v>
      </c>
      <c r="L2192" t="b">
        <v>0</v>
      </c>
      <c r="M2192" t="b">
        <v>0</v>
      </c>
      <c r="N2192" t="inlineStr">
        <is>
          <t>alt</t>
        </is>
      </c>
      <c r="O2192" t="n">
        <v>-100</v>
      </c>
      <c r="P2192" t="n">
        <v>0.1506</v>
      </c>
      <c r="Q2192" t="n">
        <v>-100</v>
      </c>
      <c r="R2192" t="n">
        <v>0.1184</v>
      </c>
      <c r="S2192">
        <f>IMAGE("https://mitra.stanford.edu/kundaje/oak/projects/neuro-variants/variant_position/credible/roussos_2024/variant_figures/roussos_2024.infant.GLU/rs6546856_count_position.png",4,220,900)</f>
        <v/>
      </c>
      <c r="T2192">
        <f>IMAGE("https://mitra.stanford.edu/kundaje/oak/projects/neuro-variants/variant_position/credible/roussos_2024/variant_figures/roussos_2024.infant.GLU/rs6546856_profile_position.png",4,220,900)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-0.0118516515999999</v>
      </c>
      <c r="G2193" t="n">
        <v>0.6178853998085176</v>
      </c>
      <c r="H2193" t="n">
        <v>0.008378673223047899</v>
      </c>
      <c r="I2193" t="n">
        <v>0.8201233564659869</v>
      </c>
      <c r="J2193" t="n">
        <v>0.1195440816596485</v>
      </c>
      <c r="K2193" t="n">
        <v>0.1757134251008372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0.1044</v>
      </c>
      <c r="Q2193" t="n">
        <v>-80</v>
      </c>
      <c r="R2193" t="n">
        <v>0.06279999999999999</v>
      </c>
      <c r="S2193">
        <f>IMAGE("https://mitra.stanford.edu/kundaje/oak/projects/neuro-variants/variant_position/credible/roussos_2024/variant_figures/roussos_2024.infant.GLU/rs13407231_count_position.png",4,220,900)</f>
        <v/>
      </c>
      <c r="T2193">
        <f>IMAGE("https://mitra.stanford.edu/kundaje/oak/projects/neuro-variants/variant_position/credible/roussos_2024/variant_figures/roussos_2024.infant.GLU/rs13407231_profile_position.png",4,220,900)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0.08422625979999999</v>
      </c>
      <c r="G2194" t="n">
        <v>0.0675480389648862</v>
      </c>
      <c r="H2194" t="n">
        <v>0.0267770701412658</v>
      </c>
      <c r="I2194" t="n">
        <v>0.08257871659085179</v>
      </c>
      <c r="J2194" t="n">
        <v>0.1603165854626424</v>
      </c>
      <c r="K2194" t="n">
        <v>0.1341087369910344</v>
      </c>
      <c r="L2194" t="b">
        <v>0</v>
      </c>
      <c r="M2194" t="b">
        <v>0</v>
      </c>
      <c r="N2194" t="inlineStr">
        <is>
          <t>alt</t>
        </is>
      </c>
      <c r="O2194" t="n">
        <v>-90</v>
      </c>
      <c r="P2194" t="n">
        <v>0.0185</v>
      </c>
      <c r="Q2194" t="n">
        <v>75</v>
      </c>
      <c r="R2194" t="n">
        <v>0.2537</v>
      </c>
      <c r="S2194">
        <f>IMAGE("https://mitra.stanford.edu/kundaje/oak/projects/neuro-variants/variant_position/credible/roussos_2024/variant_figures/roussos_2024.infant.GLU/rs17016552_count_position.png",4,220,900)</f>
        <v/>
      </c>
      <c r="T2194">
        <f>IMAGE("https://mitra.stanford.edu/kundaje/oak/projects/neuro-variants/variant_position/credible/roussos_2024/variant_figures/roussos_2024.infant.GLU/rs17016552_profile_position.png",4,220,900)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0.08104234053999999</v>
      </c>
      <c r="G2195" t="n">
        <v>0.09640695430191221</v>
      </c>
      <c r="H2195" t="n">
        <v>0.0345908763763216</v>
      </c>
      <c r="I2195" t="n">
        <v>0.0354179207241177</v>
      </c>
      <c r="J2195" t="n">
        <v>0.08891509953923139</v>
      </c>
      <c r="K2195" t="n">
        <v>0.2347686775611692</v>
      </c>
      <c r="L2195" t="b">
        <v>0</v>
      </c>
      <c r="M2195" t="b">
        <v>0</v>
      </c>
      <c r="N2195" t="inlineStr">
        <is>
          <t>alt</t>
        </is>
      </c>
      <c r="O2195" t="n">
        <v>100</v>
      </c>
      <c r="P2195" t="n">
        <v>0.004204</v>
      </c>
      <c r="Q2195" t="n">
        <v>-65</v>
      </c>
      <c r="R2195" t="n">
        <v>0.0907</v>
      </c>
      <c r="S2195">
        <f>IMAGE("https://mitra.stanford.edu/kundaje/oak/projects/neuro-variants/variant_position/credible/roussos_2024/variant_figures/roussos_2024.infant.GLU/rs13406464_count_position.png",4,220,900)</f>
        <v/>
      </c>
      <c r="T2195">
        <f>IMAGE("https://mitra.stanford.edu/kundaje/oak/projects/neuro-variants/variant_position/credible/roussos_2024/variant_figures/roussos_2024.infant.GLU/rs13406464_profile_position.png",4,220,900)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-0.0179003721</v>
      </c>
      <c r="G2196" t="n">
        <v>0.4893009969747137</v>
      </c>
      <c r="H2196" t="n">
        <v>0.0239841852300844</v>
      </c>
      <c r="I2196" t="n">
        <v>0.11428097965649</v>
      </c>
      <c r="J2196" t="n">
        <v>0.1229711854317775</v>
      </c>
      <c r="K2196" t="n">
        <v>0.1782433567890559</v>
      </c>
      <c r="L2196" t="b">
        <v>0</v>
      </c>
      <c r="M2196" t="b">
        <v>0</v>
      </c>
      <c r="N2196" t="inlineStr">
        <is>
          <t>ref</t>
        </is>
      </c>
      <c r="O2196" t="n">
        <v>5</v>
      </c>
      <c r="P2196" t="n">
        <v>0.00293</v>
      </c>
      <c r="Q2196" t="n">
        <v>95</v>
      </c>
      <c r="R2196" t="n">
        <v>0.06195</v>
      </c>
      <c r="S2196">
        <f>IMAGE("https://mitra.stanford.edu/kundaje/oak/projects/neuro-variants/variant_position/credible/roussos_2024/variant_figures/roussos_2024.infant.GLU/rs4535062_count_position.png",4,220,900)</f>
        <v/>
      </c>
      <c r="T2196">
        <f>IMAGE("https://mitra.stanford.edu/kundaje/oak/projects/neuro-variants/variant_position/credible/roussos_2024/variant_figures/roussos_2024.infant.GLU/rs4535062_profile_position.png",4,220,900)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-0.0525078064</v>
      </c>
      <c r="G2197" t="n">
        <v>0.1605451308885147</v>
      </c>
      <c r="H2197" t="n">
        <v>0.0298124480349392</v>
      </c>
      <c r="I2197" t="n">
        <v>0.0588152851303958</v>
      </c>
      <c r="J2197" t="n">
        <v>0.6487433585396503</v>
      </c>
      <c r="K2197" t="n">
        <v>0.0176184579409144</v>
      </c>
      <c r="L2197" t="b">
        <v>0</v>
      </c>
      <c r="M2197" t="b">
        <v>0</v>
      </c>
      <c r="N2197" t="inlineStr">
        <is>
          <t>ref</t>
        </is>
      </c>
      <c r="O2197" t="n">
        <v>-90</v>
      </c>
      <c r="P2197" t="n">
        <v>0.1132</v>
      </c>
      <c r="Q2197" t="n">
        <v>-100</v>
      </c>
      <c r="R2197" t="n">
        <v>0.253</v>
      </c>
      <c r="S2197">
        <f>IMAGE("https://mitra.stanford.edu/kundaje/oak/projects/neuro-variants/variant_position/credible/roussos_2024/variant_figures/roussos_2024.infant.GLU/rs17029753_count_position.png",4,220,900)</f>
        <v/>
      </c>
      <c r="T2197">
        <f>IMAGE("https://mitra.stanford.edu/kundaje/oak/projects/neuro-variants/variant_position/credible/roussos_2024/variant_figures/roussos_2024.infant.GLU/rs17029753_profile_position.png",4,220,900)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0.0573048927</v>
      </c>
      <c r="G2198" t="n">
        <v>0.1553112486093736</v>
      </c>
      <c r="H2198" t="n">
        <v>0.0129011816463812</v>
      </c>
      <c r="I2198" t="n">
        <v>0.4902131180324824</v>
      </c>
      <c r="J2198" t="n">
        <v>0.6944344011111355</v>
      </c>
      <c r="K2198" t="n">
        <v>0.0146270894587513</v>
      </c>
      <c r="L2198" t="b">
        <v>0</v>
      </c>
      <c r="M2198" t="b">
        <v>0</v>
      </c>
      <c r="N2198" t="inlineStr">
        <is>
          <t>alt</t>
        </is>
      </c>
      <c r="O2198" t="n">
        <v>100</v>
      </c>
      <c r="P2198" t="n">
        <v>0.01425</v>
      </c>
      <c r="Q2198" t="n">
        <v>45</v>
      </c>
      <c r="R2198" t="n">
        <v>0.02734</v>
      </c>
      <c r="S2198">
        <f>IMAGE("https://mitra.stanford.edu/kundaje/oak/projects/neuro-variants/variant_position/credible/roussos_2024/variant_figures/roussos_2024.infant.GLU/rs60641243_count_position.png",4,220,900)</f>
        <v/>
      </c>
      <c r="T2198">
        <f>IMAGE("https://mitra.stanford.edu/kundaje/oak/projects/neuro-variants/variant_position/credible/roussos_2024/variant_figures/roussos_2024.infant.GLU/rs60641243_profile_position.png",4,220,900)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0.100649429</v>
      </c>
      <c r="G2199" t="n">
        <v>0.0515319296598069</v>
      </c>
      <c r="H2199" t="n">
        <v>0.0268425046819741</v>
      </c>
      <c r="I2199" t="n">
        <v>0.0839322157798823</v>
      </c>
      <c r="J2199" t="n">
        <v>0.5443572389162018</v>
      </c>
      <c r="K2199" t="n">
        <v>0.02633041801517</v>
      </c>
      <c r="L2199" t="b">
        <v>0</v>
      </c>
      <c r="M2199" t="b">
        <v>0</v>
      </c>
      <c r="N2199" t="inlineStr">
        <is>
          <t>alt</t>
        </is>
      </c>
      <c r="O2199" t="n">
        <v>30</v>
      </c>
      <c r="P2199" t="n">
        <v>0.00232</v>
      </c>
      <c r="Q2199" t="n">
        <v>50</v>
      </c>
      <c r="R2199" t="n">
        <v>0.05273</v>
      </c>
      <c r="S2199">
        <f>IMAGE("https://mitra.stanford.edu/kundaje/oak/projects/neuro-variants/variant_position/credible/roussos_2024/variant_figures/roussos_2024.infant.GLU/rs7598321_count_position.png",4,220,900)</f>
        <v/>
      </c>
      <c r="T2199">
        <f>IMAGE("https://mitra.stanford.edu/kundaje/oak/projects/neuro-variants/variant_position/credible/roussos_2024/variant_figures/roussos_2024.infant.GLU/rs7598321_profile_position.png",4,220,900)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0.01124954408</v>
      </c>
      <c r="G2200" t="n">
        <v>0.6000140906528985</v>
      </c>
      <c r="H2200" t="n">
        <v>0.0353554136542924</v>
      </c>
      <c r="I2200" t="n">
        <v>0.032685828271088</v>
      </c>
      <c r="J2200" t="n">
        <v>0.411977777287859</v>
      </c>
      <c r="K2200" t="n">
        <v>0.0429993216148092</v>
      </c>
      <c r="L2200" t="b">
        <v>0</v>
      </c>
      <c r="M2200" t="b">
        <v>0</v>
      </c>
      <c r="N2200" t="inlineStr">
        <is>
          <t>alt</t>
        </is>
      </c>
      <c r="O2200" t="n">
        <v>30</v>
      </c>
      <c r="P2200" t="n">
        <v>0.002563</v>
      </c>
      <c r="Q2200" t="n">
        <v>45</v>
      </c>
      <c r="R2200" t="n">
        <v>0.0667</v>
      </c>
      <c r="S2200">
        <f>IMAGE("https://mitra.stanford.edu/kundaje/oak/projects/neuro-variants/variant_position/credible/roussos_2024/variant_figures/roussos_2024.infant.GLU/rs62152284_count_position.png",4,220,900)</f>
        <v/>
      </c>
      <c r="T2200">
        <f>IMAGE("https://mitra.stanford.edu/kundaje/oak/projects/neuro-variants/variant_position/credible/roussos_2024/variant_figures/roussos_2024.infant.GLU/rs62152284_profile_position.png",4,220,900)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-0.209371622</v>
      </c>
      <c r="G2201" t="n">
        <v>0.009069019708557899</v>
      </c>
      <c r="H2201" t="n">
        <v>0.0423156646257078</v>
      </c>
      <c r="I2201" t="n">
        <v>0.0165722351076374</v>
      </c>
      <c r="J2201" t="n">
        <v>0.2646630216715536</v>
      </c>
      <c r="K2201" t="n">
        <v>0.07890888971860931</v>
      </c>
      <c r="L2201" t="b">
        <v>1</v>
      </c>
      <c r="M2201" t="b">
        <v>1</v>
      </c>
      <c r="N2201" t="inlineStr">
        <is>
          <t>ref</t>
        </is>
      </c>
      <c r="O2201" t="n">
        <v>-70</v>
      </c>
      <c r="P2201" t="n">
        <v>0.006084</v>
      </c>
      <c r="Q2201" t="n">
        <v>-100</v>
      </c>
      <c r="R2201" t="n">
        <v>0.12305</v>
      </c>
      <c r="S2201">
        <f>IMAGE("https://mitra.stanford.edu/kundaje/oak/projects/neuro-variants/variant_position/credible/roussos_2024/variant_figures/roussos_2024.infant.GLU/rs112338729_count_position.png",4,220,900)</f>
        <v/>
      </c>
      <c r="T2201">
        <f>IMAGE("https://mitra.stanford.edu/kundaje/oak/projects/neuro-variants/variant_position/credible/roussos_2024/variant_figures/roussos_2024.infant.GLU/rs112338729_profile_position.png",4,220,900)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-0.218698198</v>
      </c>
      <c r="G2202" t="n">
        <v>0.008746061445851201</v>
      </c>
      <c r="H2202" t="n">
        <v>0.038628883928963</v>
      </c>
      <c r="I2202" t="n">
        <v>0.0240689119476344</v>
      </c>
      <c r="J2202" t="n">
        <v>0.2013900218258779</v>
      </c>
      <c r="K2202" t="n">
        <v>0.110933201562826</v>
      </c>
      <c r="L2202" t="b">
        <v>1</v>
      </c>
      <c r="M2202" t="b">
        <v>1</v>
      </c>
      <c r="N2202" t="inlineStr">
        <is>
          <t>ref</t>
        </is>
      </c>
      <c r="O2202" t="n">
        <v>-100</v>
      </c>
      <c r="P2202" t="n">
        <v>0.055</v>
      </c>
      <c r="Q2202" t="n">
        <v>-85</v>
      </c>
      <c r="R2202" t="n">
        <v>0.1501</v>
      </c>
      <c r="S2202">
        <f>IMAGE("https://mitra.stanford.edu/kundaje/oak/projects/neuro-variants/variant_position/credible/roussos_2024/variant_figures/roussos_2024.infant.GLU/rs6729836_count_position.png",4,220,900)</f>
        <v/>
      </c>
      <c r="T2202">
        <f>IMAGE("https://mitra.stanford.edu/kundaje/oak/projects/neuro-variants/variant_position/credible/roussos_2024/variant_figures/roussos_2024.infant.GLU/rs6729836_profile_position.png",4,220,900)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0.02722656376</v>
      </c>
      <c r="G2203" t="n">
        <v>0.332926701949957</v>
      </c>
      <c r="H2203" t="n">
        <v>0.009860714592939201</v>
      </c>
      <c r="I2203" t="n">
        <v>0.753015706963305</v>
      </c>
      <c r="J2203" t="n">
        <v>0.0424116492868008</v>
      </c>
      <c r="K2203" t="n">
        <v>0.3735017662835838</v>
      </c>
      <c r="L2203" t="b">
        <v>0</v>
      </c>
      <c r="M2203" t="b">
        <v>0</v>
      </c>
      <c r="N2203" t="inlineStr">
        <is>
          <t>alt</t>
        </is>
      </c>
      <c r="O2203" t="n">
        <v>-15</v>
      </c>
      <c r="P2203" t="n">
        <v>0.001938</v>
      </c>
      <c r="Q2203" t="n">
        <v>-60</v>
      </c>
      <c r="R2203" t="n">
        <v>0.05664</v>
      </c>
      <c r="S2203">
        <f>IMAGE("https://mitra.stanford.edu/kundaje/oak/projects/neuro-variants/variant_position/credible/roussos_2024/variant_figures/roussos_2024.infant.GLU/rs10203500_count_position.png",4,220,900)</f>
        <v/>
      </c>
      <c r="T2203">
        <f>IMAGE("https://mitra.stanford.edu/kundaje/oak/projects/neuro-variants/variant_position/credible/roussos_2024/variant_figures/roussos_2024.infant.GLU/rs10203500_profile_position.png",4,220,900)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0.07361442980000001</v>
      </c>
      <c r="G2204" t="n">
        <v>0.09493533698261609</v>
      </c>
      <c r="H2204" t="n">
        <v>0.0263875270246341</v>
      </c>
      <c r="I2204" t="n">
        <v>0.0869699304860498</v>
      </c>
      <c r="J2204" t="n">
        <v>0.008116360589960001</v>
      </c>
      <c r="K2204" t="n">
        <v>0.7314801277175946</v>
      </c>
      <c r="L2204" t="b">
        <v>0</v>
      </c>
      <c r="M2204" t="b">
        <v>0</v>
      </c>
      <c r="N2204" t="inlineStr">
        <is>
          <t>alt</t>
        </is>
      </c>
      <c r="O2204" t="n">
        <v>-5</v>
      </c>
      <c r="P2204" t="n">
        <v>0.002377</v>
      </c>
      <c r="Q2204" t="n">
        <v>40</v>
      </c>
      <c r="R2204" t="n">
        <v>0.0958</v>
      </c>
      <c r="S2204">
        <f>IMAGE("https://mitra.stanford.edu/kundaje/oak/projects/neuro-variants/variant_position/credible/roussos_2024/variant_figures/roussos_2024.infant.GLU/rs12692042_count_position.png",4,220,900)</f>
        <v/>
      </c>
      <c r="T2204">
        <f>IMAGE("https://mitra.stanford.edu/kundaje/oak/projects/neuro-variants/variant_position/credible/roussos_2024/variant_figures/roussos_2024.infant.GLU/rs12692042_profile_position.png",4,220,900)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0.03478738766</v>
      </c>
      <c r="G2205" t="n">
        <v>0.2610279807794413</v>
      </c>
      <c r="H2205" t="n">
        <v>0.0440213877923472</v>
      </c>
      <c r="I2205" t="n">
        <v>0.0134379555398569</v>
      </c>
      <c r="J2205" t="n">
        <v>0.1248693754271478</v>
      </c>
      <c r="K2205" t="n">
        <v>0.1774777722581141</v>
      </c>
      <c r="L2205" t="b">
        <v>1</v>
      </c>
      <c r="M2205" t="b">
        <v>0</v>
      </c>
      <c r="N2205" t="inlineStr">
        <is>
          <t>alt</t>
        </is>
      </c>
      <c r="O2205" t="n">
        <v>5</v>
      </c>
      <c r="P2205" t="n">
        <v>0.0007324</v>
      </c>
      <c r="Q2205" t="n">
        <v>10</v>
      </c>
      <c r="R2205" t="n">
        <v>0.00537</v>
      </c>
      <c r="S2205">
        <f>IMAGE("https://mitra.stanford.edu/kundaje/oak/projects/neuro-variants/variant_position/credible/roussos_2024/variant_figures/roussos_2024.infant.GLU/rs17477145_count_position.png",4,220,900)</f>
        <v/>
      </c>
      <c r="T2205">
        <f>IMAGE("https://mitra.stanford.edu/kundaje/oak/projects/neuro-variants/variant_position/credible/roussos_2024/variant_figures/roussos_2024.infant.GLU/rs17477145_profile_position.png",4,220,900)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-0.26103431</v>
      </c>
      <c r="G2206" t="n">
        <v>0.004699753295979</v>
      </c>
      <c r="H2206" t="n">
        <v>0.0579550487354689</v>
      </c>
      <c r="I2206" t="n">
        <v>0.0037518197322678</v>
      </c>
      <c r="J2206" t="n">
        <v>0.1188584404418086</v>
      </c>
      <c r="K2206" t="n">
        <v>0.1840768661374935</v>
      </c>
      <c r="L2206" t="b">
        <v>1</v>
      </c>
      <c r="M2206" t="b">
        <v>1</v>
      </c>
      <c r="N2206" t="inlineStr">
        <is>
          <t>ref</t>
        </is>
      </c>
      <c r="O2206" t="n">
        <v>-100</v>
      </c>
      <c r="P2206" t="n">
        <v>0.002045</v>
      </c>
      <c r="Q2206" t="n">
        <v>-55</v>
      </c>
      <c r="R2206" t="n">
        <v>0.03076</v>
      </c>
      <c r="S2206">
        <f>IMAGE("https://mitra.stanford.edu/kundaje/oak/projects/neuro-variants/variant_position/credible/roussos_2024/variant_figures/roussos_2024.infant.GLU/rs13386580_count_position.png",4,220,900)</f>
        <v/>
      </c>
      <c r="T2206">
        <f>IMAGE("https://mitra.stanford.edu/kundaje/oak/projects/neuro-variants/variant_position/credible/roussos_2024/variant_figures/roussos_2024.infant.GLU/rs13386580_profile_position.png",4,220,900)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0.0147093497999999</v>
      </c>
      <c r="G2207" t="n">
        <v>0.3420698537724356</v>
      </c>
      <c r="H2207" t="n">
        <v>0.022667513081502</v>
      </c>
      <c r="I2207" t="n">
        <v>0.1333514265287517</v>
      </c>
      <c r="J2207" t="n">
        <v>0.0484093564672942</v>
      </c>
      <c r="K2207" t="n">
        <v>0.3582070833744986</v>
      </c>
      <c r="L2207" t="b">
        <v>0</v>
      </c>
      <c r="M2207" t="b">
        <v>0</v>
      </c>
      <c r="N2207" t="inlineStr">
        <is>
          <t>alt</t>
        </is>
      </c>
      <c r="O2207" t="n">
        <v>-80</v>
      </c>
      <c r="P2207" t="n">
        <v>0.01032</v>
      </c>
      <c r="Q2207" t="n">
        <v>-30</v>
      </c>
      <c r="R2207" t="n">
        <v>0.0989</v>
      </c>
      <c r="S2207">
        <f>IMAGE("https://mitra.stanford.edu/kundaje/oak/projects/neuro-variants/variant_position/credible/roussos_2024/variant_figures/roussos_2024.infant.GLU/rs10208226_count_position.png",4,220,900)</f>
        <v/>
      </c>
      <c r="T2207">
        <f>IMAGE("https://mitra.stanford.edu/kundaje/oak/projects/neuro-variants/variant_position/credible/roussos_2024/variant_figures/roussos_2024.infant.GLU/rs10208226_profile_position.png",4,220,900)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0.1270587592</v>
      </c>
      <c r="G2208" t="n">
        <v>0.0300694198279052</v>
      </c>
      <c r="H2208" t="n">
        <v>0.0196894329941535</v>
      </c>
      <c r="I2208" t="n">
        <v>0.1955857165859185</v>
      </c>
      <c r="J2208" t="n">
        <v>0.0263012853017041</v>
      </c>
      <c r="K2208" t="n">
        <v>0.4954490528077812</v>
      </c>
      <c r="L2208" t="b">
        <v>0</v>
      </c>
      <c r="M2208" t="b">
        <v>0</v>
      </c>
      <c r="N2208" t="inlineStr">
        <is>
          <t>alt</t>
        </is>
      </c>
      <c r="O2208" t="n">
        <v>-85</v>
      </c>
      <c r="P2208" t="n">
        <v>0.01251</v>
      </c>
      <c r="Q2208" t="n">
        <v>-55</v>
      </c>
      <c r="R2208" t="n">
        <v>0.02905</v>
      </c>
      <c r="S2208">
        <f>IMAGE("https://mitra.stanford.edu/kundaje/oak/projects/neuro-variants/variant_position/credible/roussos_2024/variant_figures/roussos_2024.infant.GLU/rs1401123_count_position.png",4,220,900)</f>
        <v/>
      </c>
      <c r="T2208">
        <f>IMAGE("https://mitra.stanford.edu/kundaje/oak/projects/neuro-variants/variant_position/credible/roussos_2024/variant_figures/roussos_2024.infant.GLU/rs1401123_profile_position.png",4,220,900)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-0.225392958</v>
      </c>
      <c r="G2209" t="n">
        <v>0.00745206134845</v>
      </c>
      <c r="H2209" t="n">
        <v>0.0301883066373822</v>
      </c>
      <c r="I2209" t="n">
        <v>0.0565856273842553</v>
      </c>
      <c r="J2209" t="n">
        <v>0.2272106968848519</v>
      </c>
      <c r="K2209" t="n">
        <v>0.09596167043940711</v>
      </c>
      <c r="L2209" t="b">
        <v>1</v>
      </c>
      <c r="M2209" t="b">
        <v>1</v>
      </c>
      <c r="N2209" t="inlineStr">
        <is>
          <t>ref</t>
        </is>
      </c>
      <c r="O2209" t="n">
        <v>-40</v>
      </c>
      <c r="P2209" t="n">
        <v>0.01033</v>
      </c>
      <c r="Q2209" t="n">
        <v>-40</v>
      </c>
      <c r="R2209" t="n">
        <v>0.11084</v>
      </c>
      <c r="S2209">
        <f>IMAGE("https://mitra.stanford.edu/kundaje/oak/projects/neuro-variants/variant_position/credible/roussos_2024/variant_figures/roussos_2024.infant.GLU/rs10202846_count_position.png",4,220,900)</f>
        <v/>
      </c>
      <c r="T2209">
        <f>IMAGE("https://mitra.stanford.edu/kundaje/oak/projects/neuro-variants/variant_position/credible/roussos_2024/variant_figures/roussos_2024.infant.GLU/rs10202846_profile_position.png",4,220,900)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0.0033779582</v>
      </c>
      <c r="G2210" t="n">
        <v>0.6720837859026123</v>
      </c>
      <c r="H2210" t="n">
        <v>0.0103810011632925</v>
      </c>
      <c r="I2210" t="n">
        <v>0.6985839343391245</v>
      </c>
      <c r="J2210" t="n">
        <v>0.0643312242333384</v>
      </c>
      <c r="K2210" t="n">
        <v>0.2890641889666354</v>
      </c>
      <c r="L2210" t="b">
        <v>0</v>
      </c>
      <c r="M2210" t="b">
        <v>0</v>
      </c>
      <c r="N2210" t="inlineStr">
        <is>
          <t>alt</t>
        </is>
      </c>
      <c r="O2210" t="n">
        <v>-95</v>
      </c>
      <c r="P2210" t="n">
        <v>0.03827</v>
      </c>
      <c r="Q2210" t="n">
        <v>55</v>
      </c>
      <c r="R2210" t="n">
        <v>0.04102</v>
      </c>
      <c r="S2210">
        <f>IMAGE("https://mitra.stanford.edu/kundaje/oak/projects/neuro-variants/variant_position/credible/roussos_2024/variant_figures/roussos_2024.infant.GLU/rs9287360_count_position.png",4,220,900)</f>
        <v/>
      </c>
      <c r="T2210">
        <f>IMAGE("https://mitra.stanford.edu/kundaje/oak/projects/neuro-variants/variant_position/credible/roussos_2024/variant_figures/roussos_2024.infant.GLU/rs9287360_profile_position.png",4,220,900)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0.0230270435999999</v>
      </c>
      <c r="G2211" t="n">
        <v>0.3903372862852136</v>
      </c>
      <c r="H2211" t="n">
        <v>0.0431036333263155</v>
      </c>
      <c r="I2211" t="n">
        <v>0.0148205481516465</v>
      </c>
      <c r="J2211" t="n">
        <v>0.0184847549549151</v>
      </c>
      <c r="K2211" t="n">
        <v>0.5544861507647686</v>
      </c>
      <c r="L2211" t="b">
        <v>1</v>
      </c>
      <c r="M2211" t="b">
        <v>0</v>
      </c>
      <c r="N2211" t="inlineStr">
        <is>
          <t>alt</t>
        </is>
      </c>
      <c r="O2211" t="n">
        <v>-100</v>
      </c>
      <c r="P2211" t="n">
        <v>0.0216</v>
      </c>
      <c r="Q2211" t="n">
        <v>95</v>
      </c>
      <c r="R2211" t="n">
        <v>0.1295</v>
      </c>
      <c r="S2211">
        <f>IMAGE("https://mitra.stanford.edu/kundaje/oak/projects/neuro-variants/variant_position/credible/roussos_2024/variant_figures/roussos_2024.infant.GLU/rs67082009_count_position.png",4,220,900)</f>
        <v/>
      </c>
      <c r="T2211">
        <f>IMAGE("https://mitra.stanford.edu/kundaje/oak/projects/neuro-variants/variant_position/credible/roussos_2024/variant_figures/roussos_2024.infant.GLU/rs67082009_profile_position.png",4,220,900)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-0.0534126204</v>
      </c>
      <c r="G2212" t="n">
        <v>0.1647193807065233</v>
      </c>
      <c r="H2212" t="n">
        <v>0.0100992454646726</v>
      </c>
      <c r="I2212" t="n">
        <v>0.7186744645626834</v>
      </c>
      <c r="J2212" t="n">
        <v>0.0773451795674507</v>
      </c>
      <c r="K2212" t="n">
        <v>0.2596970207740502</v>
      </c>
      <c r="L2212" t="b">
        <v>0</v>
      </c>
      <c r="M2212" t="b">
        <v>0</v>
      </c>
      <c r="N2212" t="inlineStr">
        <is>
          <t>ref</t>
        </is>
      </c>
      <c r="O2212" t="n">
        <v>-65</v>
      </c>
      <c r="P2212" t="n">
        <v>0.015335</v>
      </c>
      <c r="Q2212" t="n">
        <v>100</v>
      </c>
      <c r="R2212" t="n">
        <v>0.03754</v>
      </c>
      <c r="S2212">
        <f>IMAGE("https://mitra.stanford.edu/kundaje/oak/projects/neuro-variants/variant_position/credible/roussos_2024/variant_figures/roussos_2024.infant.GLU/rs72857431_count_position.png",4,220,900)</f>
        <v/>
      </c>
      <c r="T2212">
        <f>IMAGE("https://mitra.stanford.edu/kundaje/oak/projects/neuro-variants/variant_position/credible/roussos_2024/variant_figures/roussos_2024.infant.GLU/rs72857431_profile_position.png",4,220,900)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0.0226218736</v>
      </c>
      <c r="G2213" t="n">
        <v>0.3944565287932819</v>
      </c>
      <c r="H2213" t="n">
        <v>0.0077616430578485</v>
      </c>
      <c r="I2213" t="n">
        <v>0.9266412344810272</v>
      </c>
      <c r="J2213" t="n">
        <v>0.0528428757247734</v>
      </c>
      <c r="K2213" t="n">
        <v>0.3338326996264067</v>
      </c>
      <c r="L2213" t="b">
        <v>0</v>
      </c>
      <c r="M2213" t="b">
        <v>0</v>
      </c>
      <c r="N2213" t="inlineStr">
        <is>
          <t>alt</t>
        </is>
      </c>
      <c r="O2213" t="n">
        <v>-100</v>
      </c>
      <c r="P2213" t="n">
        <v>0.1288</v>
      </c>
      <c r="Q2213" t="n">
        <v>-100</v>
      </c>
      <c r="R2213" t="n">
        <v>0.1514</v>
      </c>
      <c r="S2213">
        <f>IMAGE("https://mitra.stanford.edu/kundaje/oak/projects/neuro-variants/variant_position/credible/roussos_2024/variant_figures/roussos_2024.infant.GLU/rs72857434_count_position.png",4,220,900)</f>
        <v/>
      </c>
      <c r="T2213">
        <f>IMAGE("https://mitra.stanford.edu/kundaje/oak/projects/neuro-variants/variant_position/credible/roussos_2024/variant_figures/roussos_2024.infant.GLU/rs72857434_profile_position.png",4,220,900)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-0.0420494827999999</v>
      </c>
      <c r="G2214" t="n">
        <v>0.1442442226944904</v>
      </c>
      <c r="H2214" t="n">
        <v>0.0176481382218265</v>
      </c>
      <c r="I2214" t="n">
        <v>0.2491090803306732</v>
      </c>
      <c r="J2214" t="n">
        <v>0.1439295398928547</v>
      </c>
      <c r="K2214" t="n">
        <v>0.1617904817774495</v>
      </c>
      <c r="L2214" t="b">
        <v>0</v>
      </c>
      <c r="M2214" t="b">
        <v>0</v>
      </c>
      <c r="N2214" t="inlineStr">
        <is>
          <t>ref</t>
        </is>
      </c>
      <c r="O2214" t="n">
        <v>-100</v>
      </c>
      <c r="P2214" t="n">
        <v>0.03598</v>
      </c>
      <c r="Q2214" t="n">
        <v>70</v>
      </c>
      <c r="R2214" t="n">
        <v>0.1138</v>
      </c>
      <c r="S2214">
        <f>IMAGE("https://mitra.stanford.edu/kundaje/oak/projects/neuro-variants/variant_position/credible/roussos_2024/variant_figures/roussos_2024.infant.GLU/rs6721450_count_position.png",4,220,900)</f>
        <v/>
      </c>
      <c r="T2214">
        <f>IMAGE("https://mitra.stanford.edu/kundaje/oak/projects/neuro-variants/variant_position/credible/roussos_2024/variant_figures/roussos_2024.infant.GLU/rs6721450_profile_position.png",4,220,900)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0.141890533</v>
      </c>
      <c r="G2215" t="n">
        <v>0.0267415443752699</v>
      </c>
      <c r="H2215" t="n">
        <v>0.0226062658719051</v>
      </c>
      <c r="I2215" t="n">
        <v>0.1358082652770987</v>
      </c>
      <c r="J2215" t="n">
        <v>0.1656980974007363</v>
      </c>
      <c r="K2215" t="n">
        <v>0.1343972988005941</v>
      </c>
      <c r="L2215" t="b">
        <v>0</v>
      </c>
      <c r="M2215" t="b">
        <v>0</v>
      </c>
      <c r="N2215" t="inlineStr">
        <is>
          <t>alt</t>
        </is>
      </c>
      <c r="O2215" t="n">
        <v>5</v>
      </c>
      <c r="P2215" t="n">
        <v>0.00148</v>
      </c>
      <c r="Q2215" t="n">
        <v>30</v>
      </c>
      <c r="R2215" t="n">
        <v>0.05908</v>
      </c>
      <c r="S2215">
        <f>IMAGE("https://mitra.stanford.edu/kundaje/oak/projects/neuro-variants/variant_position/credible/roussos_2024/variant_figures/roussos_2024.infant.GLU/rs34624969_count_position.png",4,220,900)</f>
        <v/>
      </c>
      <c r="T2215">
        <f>IMAGE("https://mitra.stanford.edu/kundaje/oak/projects/neuro-variants/variant_position/credible/roussos_2024/variant_figures/roussos_2024.infant.GLU/rs34624969_profile_position.png",4,220,900)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-0.0609426705999999</v>
      </c>
      <c r="G2216" t="n">
        <v>0.1372318137761451</v>
      </c>
      <c r="H2216" t="n">
        <v>0.009261003004159499</v>
      </c>
      <c r="I2216" t="n">
        <v>0.7442766965833986</v>
      </c>
      <c r="J2216" t="n">
        <v>0.1011618421922881</v>
      </c>
      <c r="K2216" t="n">
        <v>0.2147586972503219</v>
      </c>
      <c r="L2216" t="b">
        <v>0</v>
      </c>
      <c r="M2216" t="b">
        <v>0</v>
      </c>
      <c r="N2216" t="inlineStr">
        <is>
          <t>ref</t>
        </is>
      </c>
      <c r="O2216" t="n">
        <v>90</v>
      </c>
      <c r="P2216" t="n">
        <v>0.01218</v>
      </c>
      <c r="Q2216" t="n">
        <v>-60</v>
      </c>
      <c r="R2216" t="n">
        <v>0.0646</v>
      </c>
      <c r="S2216">
        <f>IMAGE("https://mitra.stanford.edu/kundaje/oak/projects/neuro-variants/variant_position/credible/roussos_2024/variant_figures/roussos_2024.infant.GLU/rs4556924_count_position.png",4,220,900)</f>
        <v/>
      </c>
      <c r="T2216">
        <f>IMAGE("https://mitra.stanford.edu/kundaje/oak/projects/neuro-variants/variant_position/credible/roussos_2024/variant_figures/roussos_2024.infant.GLU/rs4556924_profile_position.png",4,220,900)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0.0183929187999999</v>
      </c>
      <c r="G2217" t="n">
        <v>0.4117880105368151</v>
      </c>
      <c r="H2217" t="n">
        <v>0.0226347641373543</v>
      </c>
      <c r="I2217" t="n">
        <v>0.1342310043937316</v>
      </c>
      <c r="J2217" t="n">
        <v>0.0464229811062853</v>
      </c>
      <c r="K2217" t="n">
        <v>0.3534356429786843</v>
      </c>
      <c r="L2217" t="b">
        <v>0</v>
      </c>
      <c r="M2217" t="b">
        <v>0</v>
      </c>
      <c r="N2217" t="inlineStr">
        <is>
          <t>alt</t>
        </is>
      </c>
      <c r="O2217" t="n">
        <v>-70</v>
      </c>
      <c r="P2217" t="n">
        <v>0.007233</v>
      </c>
      <c r="Q2217" t="n">
        <v>40</v>
      </c>
      <c r="R2217" t="n">
        <v>0.0801</v>
      </c>
      <c r="S2217">
        <f>IMAGE("https://mitra.stanford.edu/kundaje/oak/projects/neuro-variants/variant_position/credible/roussos_2024/variant_figures/roussos_2024.infant.GLU/rs7559983_count_position.png",4,220,900)</f>
        <v/>
      </c>
      <c r="T2217">
        <f>IMAGE("https://mitra.stanford.edu/kundaje/oak/projects/neuro-variants/variant_position/credible/roussos_2024/variant_figures/roussos_2024.infant.GLU/rs7559983_profile_position.png",4,220,900)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-0.325024772</v>
      </c>
      <c r="G2218" t="n">
        <v>0.0026113081841208</v>
      </c>
      <c r="H2218" t="n">
        <v>0.0548222287183165</v>
      </c>
      <c r="I2218" t="n">
        <v>0.0053780408281336</v>
      </c>
      <c r="J2218" t="n">
        <v>0.071520536167023</v>
      </c>
      <c r="K2218" t="n">
        <v>0.2722772023697097</v>
      </c>
      <c r="L2218" t="b">
        <v>1</v>
      </c>
      <c r="M2218" t="b">
        <v>1</v>
      </c>
      <c r="N2218" t="inlineStr">
        <is>
          <t>ref</t>
        </is>
      </c>
      <c r="O2218" t="n">
        <v>-15</v>
      </c>
      <c r="P2218" t="n">
        <v>0.008670000000000001</v>
      </c>
      <c r="Q2218" t="n">
        <v>-15</v>
      </c>
      <c r="R2218" t="n">
        <v>0.05615</v>
      </c>
      <c r="S2218">
        <f>IMAGE("https://mitra.stanford.edu/kundaje/oak/projects/neuro-variants/variant_position/credible/roussos_2024/variant_figures/roussos_2024.infant.GLU/rs3934919_count_position.png",4,220,900)</f>
        <v/>
      </c>
      <c r="T2218">
        <f>IMAGE("https://mitra.stanford.edu/kundaje/oak/projects/neuro-variants/variant_position/credible/roussos_2024/variant_figures/roussos_2024.infant.GLU/rs3934919_profile_position.png",4,220,900)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0.07451200199999999</v>
      </c>
      <c r="G2219" t="n">
        <v>0.09501991453836631</v>
      </c>
      <c r="H2219" t="n">
        <v>0.0184463002720071</v>
      </c>
      <c r="I2219" t="n">
        <v>0.2364194107410962</v>
      </c>
      <c r="J2219" t="n">
        <v>0.0253654181088648</v>
      </c>
      <c r="K2219" t="n">
        <v>0.4877801802485412</v>
      </c>
      <c r="L2219" t="b">
        <v>0</v>
      </c>
      <c r="M2219" t="b">
        <v>0</v>
      </c>
      <c r="N2219" t="inlineStr">
        <is>
          <t>alt</t>
        </is>
      </c>
      <c r="O2219" t="n">
        <v>-100</v>
      </c>
      <c r="P2219" t="n">
        <v>0.01545</v>
      </c>
      <c r="Q2219" t="n">
        <v>-20</v>
      </c>
      <c r="R2219" t="n">
        <v>0.0398</v>
      </c>
      <c r="S2219">
        <f>IMAGE("https://mitra.stanford.edu/kundaje/oak/projects/neuro-variants/variant_position/credible/roussos_2024/variant_figures/roussos_2024.infant.GLU/rs13022139_count_position.png",4,220,900)</f>
        <v/>
      </c>
      <c r="T2219">
        <f>IMAGE("https://mitra.stanford.edu/kundaje/oak/projects/neuro-variants/variant_position/credible/roussos_2024/variant_figures/roussos_2024.infant.GLU/rs13022139_profile_position.png",4,220,900)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-0.091999576</v>
      </c>
      <c r="G2220" t="n">
        <v>0.0621358264091233</v>
      </c>
      <c r="H2220" t="n">
        <v>0.0163674193728327</v>
      </c>
      <c r="I2220" t="n">
        <v>0.2978272457071897</v>
      </c>
      <c r="J2220" t="n">
        <v>0.0522906148724618</v>
      </c>
      <c r="K2220" t="n">
        <v>0.3336369491351191</v>
      </c>
      <c r="L2220" t="b">
        <v>0</v>
      </c>
      <c r="M2220" t="b">
        <v>0</v>
      </c>
      <c r="N2220" t="inlineStr">
        <is>
          <t>ref</t>
        </is>
      </c>
      <c r="O2220" t="n">
        <v>-90</v>
      </c>
      <c r="P2220" t="n">
        <v>0.03784</v>
      </c>
      <c r="Q2220" t="n">
        <v>70</v>
      </c>
      <c r="R2220" t="n">
        <v>0.0775</v>
      </c>
      <c r="S2220">
        <f>IMAGE("https://mitra.stanford.edu/kundaje/oak/projects/neuro-variants/variant_position/credible/roussos_2024/variant_figures/roussos_2024.infant.GLU/rs2254296_count_position.png",4,220,900)</f>
        <v/>
      </c>
      <c r="T2220">
        <f>IMAGE("https://mitra.stanford.edu/kundaje/oak/projects/neuro-variants/variant_position/credible/roussos_2024/variant_figures/roussos_2024.infant.GLU/rs2254296_profile_position.png",4,220,900)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-0.0181762712</v>
      </c>
      <c r="G2221" t="n">
        <v>0.4768047517548108</v>
      </c>
      <c r="H2221" t="n">
        <v>0.0503347290404865</v>
      </c>
      <c r="I2221" t="n">
        <v>0.0073694885108695</v>
      </c>
      <c r="J2221" t="n">
        <v>0.0235950968936704</v>
      </c>
      <c r="K2221" t="n">
        <v>0.5015332745722284</v>
      </c>
      <c r="L2221" t="b">
        <v>1</v>
      </c>
      <c r="M2221" t="b">
        <v>0</v>
      </c>
      <c r="N2221" t="inlineStr">
        <is>
          <t>ref</t>
        </is>
      </c>
      <c r="O2221" t="n">
        <v>80</v>
      </c>
      <c r="P2221" t="n">
        <v>0.0371</v>
      </c>
      <c r="Q2221" t="n">
        <v>-90</v>
      </c>
      <c r="R2221" t="n">
        <v>0.1422</v>
      </c>
      <c r="S2221">
        <f>IMAGE("https://mitra.stanford.edu/kundaje/oak/projects/neuro-variants/variant_position/credible/roussos_2024/variant_figures/roussos_2024.infant.GLU/rs1451083_count_position.png",4,220,900)</f>
        <v/>
      </c>
      <c r="T2221">
        <f>IMAGE("https://mitra.stanford.edu/kundaje/oak/projects/neuro-variants/variant_position/credible/roussos_2024/variant_figures/roussos_2024.infant.GLU/rs1451083_profile_position.png",4,220,900)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-0.0397391966</v>
      </c>
      <c r="G2222" t="n">
        <v>0.2297338836786658</v>
      </c>
      <c r="H2222" t="n">
        <v>0.0121459096215101</v>
      </c>
      <c r="I2222" t="n">
        <v>0.5518294025454613</v>
      </c>
      <c r="J2222" t="n">
        <v>0.014385237769792</v>
      </c>
      <c r="K2222" t="n">
        <v>0.6110524976982212</v>
      </c>
      <c r="L2222" t="b">
        <v>0</v>
      </c>
      <c r="M2222" t="b">
        <v>0</v>
      </c>
      <c r="N2222" t="inlineStr">
        <is>
          <t>ref</t>
        </is>
      </c>
      <c r="O2222" t="n">
        <v>45</v>
      </c>
      <c r="P2222" t="n">
        <v>0.006817</v>
      </c>
      <c r="Q2222" t="n">
        <v>-80</v>
      </c>
      <c r="R2222" t="n">
        <v>0.04327</v>
      </c>
      <c r="S2222">
        <f>IMAGE("https://mitra.stanford.edu/kundaje/oak/projects/neuro-variants/variant_position/credible/roussos_2024/variant_figures/roussos_2024.infant.GLU/rs6743215_count_position.png",4,220,900)</f>
        <v/>
      </c>
      <c r="T2222">
        <f>IMAGE("https://mitra.stanford.edu/kundaje/oak/projects/neuro-variants/variant_position/credible/roussos_2024/variant_figures/roussos_2024.infant.GLU/rs6743215_profile_position.png",4,220,900)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-0.201761552</v>
      </c>
      <c r="G2223" t="n">
        <v>0.0107135509229925</v>
      </c>
      <c r="H2223" t="n">
        <v>0.0295524218588448</v>
      </c>
      <c r="I2223" t="n">
        <v>0.0619587186330969</v>
      </c>
      <c r="J2223" t="n">
        <v>0.014417204964836</v>
      </c>
      <c r="K2223" t="n">
        <v>0.6393757691402121</v>
      </c>
      <c r="L2223" t="b">
        <v>1</v>
      </c>
      <c r="M2223" t="b">
        <v>0</v>
      </c>
      <c r="N2223" t="inlineStr">
        <is>
          <t>ref</t>
        </is>
      </c>
      <c r="O2223" t="n">
        <v>-95</v>
      </c>
      <c r="P2223" t="n">
        <v>0.00422</v>
      </c>
      <c r="Q2223" t="n">
        <v>-30</v>
      </c>
      <c r="R2223" t="n">
        <v>0.02039</v>
      </c>
      <c r="S2223">
        <f>IMAGE("https://mitra.stanford.edu/kundaje/oak/projects/neuro-variants/variant_position/credible/roussos_2024/variant_figures/roussos_2024.infant.GLU/rs61064806_count_position.png",4,220,900)</f>
        <v/>
      </c>
      <c r="T2223">
        <f>IMAGE("https://mitra.stanford.edu/kundaje/oak/projects/neuro-variants/variant_position/credible/roussos_2024/variant_figures/roussos_2024.infant.GLU/rs61064806_profile_position.png",4,220,900)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0.00518199822</v>
      </c>
      <c r="G2224" t="n">
        <v>0.5611071623203978</v>
      </c>
      <c r="H2224" t="n">
        <v>0.0392148358455637</v>
      </c>
      <c r="I2224" t="n">
        <v>0.0218250463344048</v>
      </c>
      <c r="J2224" t="n">
        <v>0.0094325271721157</v>
      </c>
      <c r="K2224" t="n">
        <v>0.6822002655408229</v>
      </c>
      <c r="L2224" t="b">
        <v>0</v>
      </c>
      <c r="M2224" t="b">
        <v>0</v>
      </c>
      <c r="N2224" t="inlineStr">
        <is>
          <t>alt</t>
        </is>
      </c>
      <c r="O2224" t="n">
        <v>95</v>
      </c>
      <c r="P2224" t="n">
        <v>0.01221</v>
      </c>
      <c r="Q2224" t="n">
        <v>100</v>
      </c>
      <c r="R2224" t="n">
        <v>0.1283</v>
      </c>
      <c r="S2224">
        <f>IMAGE("https://mitra.stanford.edu/kundaje/oak/projects/neuro-variants/variant_position/credible/roussos_2024/variant_figures/roussos_2024.infant.GLU/rs4664536_count_position.png",4,220,900)</f>
        <v/>
      </c>
      <c r="T2224">
        <f>IMAGE("https://mitra.stanford.edu/kundaje/oak/projects/neuro-variants/variant_position/credible/roussos_2024/variant_figures/roussos_2024.infant.GLU/rs4664536_profile_position.png",4,220,900)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0.00348928884</v>
      </c>
      <c r="G2225" t="n">
        <v>0.8230790904231629</v>
      </c>
      <c r="H2225" t="n">
        <v>0.0180530245896018</v>
      </c>
      <c r="I2225" t="n">
        <v>0.2450819533782478</v>
      </c>
      <c r="J2225" t="n">
        <v>0.2320553804096209</v>
      </c>
      <c r="K2225" t="n">
        <v>0.093801126216432</v>
      </c>
      <c r="L2225" t="b">
        <v>0</v>
      </c>
      <c r="M2225" t="b">
        <v>0</v>
      </c>
      <c r="N2225" t="inlineStr">
        <is>
          <t>alt</t>
        </is>
      </c>
      <c r="O2225" t="n">
        <v>45</v>
      </c>
      <c r="P2225" t="n">
        <v>0.02222</v>
      </c>
      <c r="Q2225" t="n">
        <v>-100</v>
      </c>
      <c r="R2225" t="n">
        <v>0.009094</v>
      </c>
      <c r="S2225">
        <f>IMAGE("https://mitra.stanford.edu/kundaje/oak/projects/neuro-variants/variant_position/credible/roussos_2024/variant_figures/roussos_2024.infant.GLU/rs191529620_count_position.png",4,220,900)</f>
        <v/>
      </c>
      <c r="T2225">
        <f>IMAGE("https://mitra.stanford.edu/kundaje/oak/projects/neuro-variants/variant_position/credible/roussos_2024/variant_figures/roussos_2024.infant.GLU/rs191529620_profile_position.png",4,220,900)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-0.0668740382</v>
      </c>
      <c r="G2226" t="n">
        <v>0.1056807518437823</v>
      </c>
      <c r="H2226" t="n">
        <v>0.009282786230489099</v>
      </c>
      <c r="I2226" t="n">
        <v>0.7977988623824753</v>
      </c>
      <c r="J2226" t="n">
        <v>0.07279701933464131</v>
      </c>
      <c r="K2226" t="n">
        <v>0.2762052421664736</v>
      </c>
      <c r="L2226" t="b">
        <v>0</v>
      </c>
      <c r="M2226" t="b">
        <v>0</v>
      </c>
      <c r="N2226" t="inlineStr">
        <is>
          <t>ref</t>
        </is>
      </c>
      <c r="O2226" t="n">
        <v>100</v>
      </c>
      <c r="P2226" t="n">
        <v>0.03656</v>
      </c>
      <c r="Q2226" t="n">
        <v>-100</v>
      </c>
      <c r="R2226" t="n">
        <v>0.0925</v>
      </c>
      <c r="S2226">
        <f>IMAGE("https://mitra.stanford.edu/kundaje/oak/projects/neuro-variants/variant_position/credible/roussos_2024/variant_figures/roussos_2024.infant.GLU/rs3963509_count_position.png",4,220,900)</f>
        <v/>
      </c>
      <c r="T2226">
        <f>IMAGE("https://mitra.stanford.edu/kundaje/oak/projects/neuro-variants/variant_position/credible/roussos_2024/variant_figures/roussos_2024.infant.GLU/rs3963509_profile_position.png",4,220,900)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0.029456180228</v>
      </c>
      <c r="G2227" t="n">
        <v>0.3477251714952462</v>
      </c>
      <c r="H2227" t="n">
        <v>0.0432396212073478</v>
      </c>
      <c r="I2227" t="n">
        <v>0.0145180030462141</v>
      </c>
      <c r="J2227" t="n">
        <v>0.2220209881170219</v>
      </c>
      <c r="K2227" t="n">
        <v>0.0976124569229702</v>
      </c>
      <c r="L2227" t="b">
        <v>1</v>
      </c>
      <c r="M2227" t="b">
        <v>0</v>
      </c>
      <c r="N2227" t="inlineStr">
        <is>
          <t>alt</t>
        </is>
      </c>
      <c r="O2227" t="n">
        <v>100</v>
      </c>
      <c r="P2227" t="n">
        <v>0.014435</v>
      </c>
      <c r="Q2227" t="n">
        <v>-65</v>
      </c>
      <c r="R2227" t="n">
        <v>0.5063</v>
      </c>
      <c r="S2227">
        <f>IMAGE("https://mitra.stanford.edu/kundaje/oak/projects/neuro-variants/variant_position/credible/roussos_2024/variant_figures/roussos_2024.infant.GLU/rs62177360_count_position.png",4,220,900)</f>
        <v/>
      </c>
      <c r="T2227">
        <f>IMAGE("https://mitra.stanford.edu/kundaje/oak/projects/neuro-variants/variant_position/credible/roussos_2024/variant_figures/roussos_2024.infant.GLU/rs62177360_profile_position.png",4,220,900)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0.0247384504</v>
      </c>
      <c r="G2228" t="n">
        <v>0.3629424550426749</v>
      </c>
      <c r="H2228" t="n">
        <v>0.0250276757784318</v>
      </c>
      <c r="I2228" t="n">
        <v>0.0999339915634989</v>
      </c>
      <c r="J2228" t="n">
        <v>0.1025143852377697</v>
      </c>
      <c r="K2228" t="n">
        <v>0.2056203165054569</v>
      </c>
      <c r="L2228" t="b">
        <v>0</v>
      </c>
      <c r="M2228" t="b">
        <v>0</v>
      </c>
      <c r="N2228" t="inlineStr">
        <is>
          <t>alt</t>
        </is>
      </c>
      <c r="O2228" t="n">
        <v>-25</v>
      </c>
      <c r="P2228" t="n">
        <v>0.00925</v>
      </c>
      <c r="Q2228" t="n">
        <v>-30</v>
      </c>
      <c r="R2228" t="n">
        <v>0.08400000000000001</v>
      </c>
      <c r="S2228">
        <f>IMAGE("https://mitra.stanford.edu/kundaje/oak/projects/neuro-variants/variant_position/credible/roussos_2024/variant_figures/roussos_2024.infant.GLU/rs6732917_count_position.png",4,220,900)</f>
        <v/>
      </c>
      <c r="T2228">
        <f>IMAGE("https://mitra.stanford.edu/kundaje/oak/projects/neuro-variants/variant_position/credible/roussos_2024/variant_figures/roussos_2024.infant.GLU/rs6732917_profile_position.png",4,220,900)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0.0035985415199999</v>
      </c>
      <c r="G2229" t="n">
        <v>0.6929013874716684</v>
      </c>
      <c r="H2229" t="n">
        <v>0.0260627546148434</v>
      </c>
      <c r="I2229" t="n">
        <v>0.0893931703250283</v>
      </c>
      <c r="J2229" t="n">
        <v>0.0277717762737273</v>
      </c>
      <c r="K2229" t="n">
        <v>0.4713261555505265</v>
      </c>
      <c r="L2229" t="b">
        <v>0</v>
      </c>
      <c r="M2229" t="b">
        <v>0</v>
      </c>
      <c r="N2229" t="inlineStr">
        <is>
          <t>alt</t>
        </is>
      </c>
      <c r="O2229" t="n">
        <v>-100</v>
      </c>
      <c r="P2229" t="n">
        <v>0.01129</v>
      </c>
      <c r="Q2229" t="n">
        <v>60</v>
      </c>
      <c r="R2229" t="n">
        <v>0.0132</v>
      </c>
      <c r="S2229">
        <f>IMAGE("https://mitra.stanford.edu/kundaje/oak/projects/neuro-variants/variant_position/credible/roussos_2024/variant_figures/roussos_2024.infant.GLU/rs72865150_count_position.png",4,220,900)</f>
        <v/>
      </c>
      <c r="T2229">
        <f>IMAGE("https://mitra.stanford.edu/kundaje/oak/projects/neuro-variants/variant_position/credible/roussos_2024/variant_figures/roussos_2024.infant.GLU/rs72865150_profile_position.png",4,220,900)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0.10140564</v>
      </c>
      <c r="G2230" t="n">
        <v>0.0505845066128885</v>
      </c>
      <c r="H2230" t="n">
        <v>0.0438848626861001</v>
      </c>
      <c r="I2230" t="n">
        <v>0.0136665533211645</v>
      </c>
      <c r="J2230" t="n">
        <v>0.0328821182124825</v>
      </c>
      <c r="K2230" t="n">
        <v>0.4451179384397701</v>
      </c>
      <c r="L2230" t="b">
        <v>1</v>
      </c>
      <c r="M2230" t="b">
        <v>0</v>
      </c>
      <c r="N2230" t="inlineStr">
        <is>
          <t>alt</t>
        </is>
      </c>
      <c r="O2230" t="n">
        <v>-10</v>
      </c>
      <c r="P2230" t="n">
        <v>0.01773</v>
      </c>
      <c r="Q2230" t="n">
        <v>-35</v>
      </c>
      <c r="R2230" t="n">
        <v>0.03784</v>
      </c>
      <c r="S2230">
        <f>IMAGE("https://mitra.stanford.edu/kundaje/oak/projects/neuro-variants/variant_position/credible/roussos_2024/variant_figures/roussos_2024.infant.GLU/rs34849522_count_position.png",4,220,900)</f>
        <v/>
      </c>
      <c r="T2230">
        <f>IMAGE("https://mitra.stanford.edu/kundaje/oak/projects/neuro-variants/variant_position/credible/roussos_2024/variant_figures/roussos_2024.infant.GLU/rs34849522_profile_position.png",4,220,900)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-0.1166608568</v>
      </c>
      <c r="G2231" t="n">
        <v>0.0477108425375918</v>
      </c>
      <c r="H2231" t="n">
        <v>0.0177125822095449</v>
      </c>
      <c r="I2231" t="n">
        <v>0.2492015511975056</v>
      </c>
      <c r="J2231" t="n">
        <v>0.0088626292466764</v>
      </c>
      <c r="K2231" t="n">
        <v>0.7276516497111873</v>
      </c>
      <c r="L2231" t="b">
        <v>0</v>
      </c>
      <c r="M2231" t="b">
        <v>0</v>
      </c>
      <c r="N2231" t="inlineStr">
        <is>
          <t>ref</t>
        </is>
      </c>
      <c r="O2231" t="n">
        <v>-20</v>
      </c>
      <c r="P2231" t="n">
        <v>0.00264</v>
      </c>
      <c r="Q2231" t="n">
        <v>35</v>
      </c>
      <c r="R2231" t="n">
        <v>0.03702</v>
      </c>
      <c r="S2231">
        <f>IMAGE("https://mitra.stanford.edu/kundaje/oak/projects/neuro-variants/variant_position/credible/roussos_2024/variant_figures/roussos_2024.infant.GLU/rs62177111_count_position.png",4,220,900)</f>
        <v/>
      </c>
      <c r="T2231">
        <f>IMAGE("https://mitra.stanford.edu/kundaje/oak/projects/neuro-variants/variant_position/credible/roussos_2024/variant_figures/roussos_2024.infant.GLU/rs62177111_profile_position.png",4,220,900)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0.0882528112</v>
      </c>
      <c r="G2232" t="n">
        <v>0.06429524083446229</v>
      </c>
      <c r="H2232" t="n">
        <v>0.016238115091367</v>
      </c>
      <c r="I2232" t="n">
        <v>0.3066313127614234</v>
      </c>
      <c r="J2232" t="n">
        <v>0.3447573800127869</v>
      </c>
      <c r="K2232" t="n">
        <v>0.0556877023078502</v>
      </c>
      <c r="L2232" t="b">
        <v>0</v>
      </c>
      <c r="M2232" t="b">
        <v>0</v>
      </c>
      <c r="N2232" t="inlineStr">
        <is>
          <t>alt</t>
        </is>
      </c>
      <c r="O2232" t="n">
        <v>95</v>
      </c>
      <c r="P2232" t="n">
        <v>0.0559</v>
      </c>
      <c r="Q2232" t="n">
        <v>-100</v>
      </c>
      <c r="R2232" t="n">
        <v>0.0641</v>
      </c>
      <c r="S2232">
        <f>IMAGE("https://mitra.stanford.edu/kundaje/oak/projects/neuro-variants/variant_position/credible/roussos_2024/variant_figures/roussos_2024.infant.GLU/rs13019836_count_position.png",4,220,900)</f>
        <v/>
      </c>
      <c r="T2232">
        <f>IMAGE("https://mitra.stanford.edu/kundaje/oak/projects/neuro-variants/variant_position/credible/roussos_2024/variant_figures/roussos_2024.infant.GLU/rs13019836_profile_position.png",4,220,900)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0.0843607512</v>
      </c>
      <c r="G2233" t="n">
        <v>0.0695698397588965</v>
      </c>
      <c r="H2233" t="n">
        <v>0.0462215006009225</v>
      </c>
      <c r="I2233" t="n">
        <v>0.0108706276362958</v>
      </c>
      <c r="J2233" t="n">
        <v>0.0666152252033774</v>
      </c>
      <c r="K2233" t="n">
        <v>0.3042752654443601</v>
      </c>
      <c r="L2233" t="b">
        <v>1</v>
      </c>
      <c r="M2233" t="b">
        <v>0</v>
      </c>
      <c r="N2233" t="inlineStr">
        <is>
          <t>alt</t>
        </is>
      </c>
      <c r="O2233" t="n">
        <v>-5</v>
      </c>
      <c r="P2233" t="n">
        <v>0.0002441</v>
      </c>
      <c r="Q2233" t="n">
        <v>0</v>
      </c>
      <c r="R2233" t="n">
        <v>0</v>
      </c>
      <c r="S2233">
        <f>IMAGE("https://mitra.stanford.edu/kundaje/oak/projects/neuro-variants/variant_position/credible/roussos_2024/variant_figures/roussos_2024.infant.GLU/rs17643843_count_position.png",4,220,900)</f>
        <v/>
      </c>
      <c r="T2233">
        <f>IMAGE("https://mitra.stanford.edu/kundaje/oak/projects/neuro-variants/variant_position/credible/roussos_2024/variant_figures/roussos_2024.infant.GLU/rs17643843_profile_position.png",4,220,900)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-0.0155967001999999</v>
      </c>
      <c r="G2234" t="n">
        <v>0.524134726732686</v>
      </c>
      <c r="H2234" t="n">
        <v>0.0121460222717036</v>
      </c>
      <c r="I2234" t="n">
        <v>0.5451946420108355</v>
      </c>
      <c r="J2234" t="n">
        <v>0.0330000661390241</v>
      </c>
      <c r="K2234" t="n">
        <v>0.4295664635722974</v>
      </c>
      <c r="L2234" t="b">
        <v>0</v>
      </c>
      <c r="M2234" t="b">
        <v>0</v>
      </c>
      <c r="N2234" t="inlineStr">
        <is>
          <t>ref</t>
        </is>
      </c>
      <c r="O2234" t="n">
        <v>-10</v>
      </c>
      <c r="P2234" t="n">
        <v>0.003693</v>
      </c>
      <c r="Q2234" t="n">
        <v>15</v>
      </c>
      <c r="R2234" t="n">
        <v>0.04614</v>
      </c>
      <c r="S2234">
        <f>IMAGE("https://mitra.stanford.edu/kundaje/oak/projects/neuro-variants/variant_position/credible/roussos_2024/variant_figures/roussos_2024.infant.GLU/rs12986694_count_position.png",4,220,900)</f>
        <v/>
      </c>
      <c r="T2234">
        <f>IMAGE("https://mitra.stanford.edu/kundaje/oak/projects/neuro-variants/variant_position/credible/roussos_2024/variant_figures/roussos_2024.infant.GLU/rs12986694_profile_position.png",4,220,900)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0.004980252194</v>
      </c>
      <c r="G2235" t="n">
        <v>0.7050606362815707</v>
      </c>
      <c r="H2235" t="n">
        <v>0.0114623286771741</v>
      </c>
      <c r="I2235" t="n">
        <v>0.6060911102266106</v>
      </c>
      <c r="J2235" t="n">
        <v>0.0068068079102272</v>
      </c>
      <c r="K2235" t="n">
        <v>0.7172842958594084</v>
      </c>
      <c r="L2235" t="b">
        <v>0</v>
      </c>
      <c r="M2235" t="b">
        <v>0</v>
      </c>
      <c r="N2235" t="inlineStr">
        <is>
          <t>alt</t>
        </is>
      </c>
      <c r="O2235" t="n">
        <v>100</v>
      </c>
      <c r="P2235" t="n">
        <v>0.09909999999999999</v>
      </c>
      <c r="Q2235" t="n">
        <v>-95</v>
      </c>
      <c r="R2235" t="n">
        <v>0.04828</v>
      </c>
      <c r="S2235">
        <f>IMAGE("https://mitra.stanford.edu/kundaje/oak/projects/neuro-variants/variant_position/credible/roussos_2024/variant_figures/roussos_2024.infant.GLU/rs36078004_count_position.png",4,220,900)</f>
        <v/>
      </c>
      <c r="T2235">
        <f>IMAGE("https://mitra.stanford.edu/kundaje/oak/projects/neuro-variants/variant_position/credible/roussos_2024/variant_figures/roussos_2024.infant.GLU/rs36078004_profile_position.png",4,220,900)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0.01186634136</v>
      </c>
      <c r="G2236" t="n">
        <v>0.5841640275869524</v>
      </c>
      <c r="H2236" t="n">
        <v>0.019268963897112</v>
      </c>
      <c r="I2236" t="n">
        <v>0.2003118650052307</v>
      </c>
      <c r="J2236" t="n">
        <v>0.2948290306223682</v>
      </c>
      <c r="K2236" t="n">
        <v>0.0688585720317467</v>
      </c>
      <c r="L2236" t="b">
        <v>0</v>
      </c>
      <c r="M2236" t="b">
        <v>0</v>
      </c>
      <c r="N2236" t="inlineStr">
        <is>
          <t>alt</t>
        </is>
      </c>
      <c r="O2236" t="n">
        <v>90</v>
      </c>
      <c r="P2236" t="n">
        <v>0.09093999999999999</v>
      </c>
      <c r="Q2236" t="n">
        <v>90</v>
      </c>
      <c r="R2236" t="n">
        <v>0.5684</v>
      </c>
      <c r="S2236">
        <f>IMAGE("https://mitra.stanford.edu/kundaje/oak/projects/neuro-variants/variant_position/credible/roussos_2024/variant_figures/roussos_2024.infant.GLU/rs67625651_count_position.png",4,220,900)</f>
        <v/>
      </c>
      <c r="T2236">
        <f>IMAGE("https://mitra.stanford.edu/kundaje/oak/projects/neuro-variants/variant_position/credible/roussos_2024/variant_figures/roussos_2024.infant.GLU/rs67625651_profile_position.png",4,220,900)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0.0890484946</v>
      </c>
      <c r="G2237" t="n">
        <v>0.0682583923635631</v>
      </c>
      <c r="H2237" t="n">
        <v>0.0175867173605361</v>
      </c>
      <c r="I2237" t="n">
        <v>0.2641117715994302</v>
      </c>
      <c r="J2237" t="n">
        <v>0.0546242201106725</v>
      </c>
      <c r="K2237" t="n">
        <v>0.32480767072607</v>
      </c>
      <c r="L2237" t="b">
        <v>0</v>
      </c>
      <c r="M2237" t="b">
        <v>0</v>
      </c>
      <c r="N2237" t="inlineStr">
        <is>
          <t>alt</t>
        </is>
      </c>
      <c r="O2237" t="n">
        <v>95</v>
      </c>
      <c r="P2237" t="n">
        <v>0.02173</v>
      </c>
      <c r="Q2237" t="n">
        <v>30</v>
      </c>
      <c r="R2237" t="n">
        <v>0.0857</v>
      </c>
      <c r="S2237">
        <f>IMAGE("https://mitra.stanford.edu/kundaje/oak/projects/neuro-variants/variant_position/credible/roussos_2024/variant_figures/roussos_2024.infant.GLU/rs12995353_count_position.png",4,220,900)</f>
        <v/>
      </c>
      <c r="T2237">
        <f>IMAGE("https://mitra.stanford.edu/kundaje/oak/projects/neuro-variants/variant_position/credible/roussos_2024/variant_figures/roussos_2024.infant.GLU/rs12995353_profile_position.png",4,220,900)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0.1712688</v>
      </c>
      <c r="G2238" t="n">
        <v>0.016361099919263</v>
      </c>
      <c r="H2238" t="n">
        <v>0.0243543900945176</v>
      </c>
      <c r="I2238" t="n">
        <v>0.1125112333534099</v>
      </c>
      <c r="J2238" t="n">
        <v>0.1507198130470248</v>
      </c>
      <c r="K2238" t="n">
        <v>0.143792467373272</v>
      </c>
      <c r="L2238" t="b">
        <v>1</v>
      </c>
      <c r="M2238" t="b">
        <v>0</v>
      </c>
      <c r="N2238" t="inlineStr">
        <is>
          <t>alt</t>
        </is>
      </c>
      <c r="O2238" t="n">
        <v>80</v>
      </c>
      <c r="P2238" t="n">
        <v>0.01839</v>
      </c>
      <c r="Q2238" t="n">
        <v>85</v>
      </c>
      <c r="R2238" t="n">
        <v>0.2307</v>
      </c>
      <c r="S2238">
        <f>IMAGE("https://mitra.stanford.edu/kundaje/oak/projects/neuro-variants/variant_position/credible/roussos_2024/variant_figures/roussos_2024.infant.GLU/rs62174916_count_position.png",4,220,900)</f>
        <v/>
      </c>
      <c r="T2238">
        <f>IMAGE("https://mitra.stanford.edu/kundaje/oak/projects/neuro-variants/variant_position/credible/roussos_2024/variant_figures/roussos_2024.infant.GLU/rs62174916_profile_position.png",4,220,900)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-0.02014630632</v>
      </c>
      <c r="G2239" t="n">
        <v>0.4479793338187053</v>
      </c>
      <c r="H2239" t="n">
        <v>0.049568176655023</v>
      </c>
      <c r="I2239" t="n">
        <v>0.0079299495801535</v>
      </c>
      <c r="J2239" t="n">
        <v>0.0256751692056702</v>
      </c>
      <c r="K2239" t="n">
        <v>0.4957127690784599</v>
      </c>
      <c r="L2239" t="b">
        <v>1</v>
      </c>
      <c r="M2239" t="b">
        <v>0</v>
      </c>
      <c r="N2239" t="inlineStr">
        <is>
          <t>ref</t>
        </is>
      </c>
      <c r="O2239" t="n">
        <v>-5</v>
      </c>
      <c r="P2239" t="n">
        <v>0.001007</v>
      </c>
      <c r="Q2239" t="n">
        <v>65</v>
      </c>
      <c r="R2239" t="n">
        <v>0.07715</v>
      </c>
      <c r="S2239">
        <f>IMAGE("https://mitra.stanford.edu/kundaje/oak/projects/neuro-variants/variant_position/credible/roussos_2024/variant_figures/roussos_2024.infant.GLU/rs67338739_count_position.png",4,220,900)</f>
        <v/>
      </c>
      <c r="T2239">
        <f>IMAGE("https://mitra.stanford.edu/kundaje/oak/projects/neuro-variants/variant_position/credible/roussos_2024/variant_figures/roussos_2024.infant.GLU/rs67338739_profile_position.png",4,220,900)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-0.0011115919999999</v>
      </c>
      <c r="G2240" t="n">
        <v>0.5196075989391393</v>
      </c>
      <c r="H2240" t="n">
        <v>0.0133689755965297</v>
      </c>
      <c r="I2240" t="n">
        <v>0.4631025881680424</v>
      </c>
      <c r="J2240" t="n">
        <v>0.0274961970061067</v>
      </c>
      <c r="K2240" t="n">
        <v>0.4732345279776507</v>
      </c>
      <c r="L2240" t="b">
        <v>0</v>
      </c>
      <c r="M2240" t="b">
        <v>0</v>
      </c>
      <c r="N2240" t="inlineStr">
        <is>
          <t>ref</t>
        </is>
      </c>
      <c r="O2240" t="n">
        <v>-80</v>
      </c>
      <c r="P2240" t="n">
        <v>0.00261</v>
      </c>
      <c r="Q2240" t="n">
        <v>95</v>
      </c>
      <c r="R2240" t="n">
        <v>0.07580000000000001</v>
      </c>
      <c r="S2240">
        <f>IMAGE("https://mitra.stanford.edu/kundaje/oak/projects/neuro-variants/variant_position/credible/roussos_2024/variant_figures/roussos_2024.infant.GLU/rs35204416_count_position.png",4,220,900)</f>
        <v/>
      </c>
      <c r="T2240">
        <f>IMAGE("https://mitra.stanford.edu/kundaje/oak/projects/neuro-variants/variant_position/credible/roussos_2024/variant_figures/roussos_2024.infant.GLU/rs35204416_profile_position.png",4,220,900)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0.0034902633</v>
      </c>
      <c r="G2241" t="n">
        <v>0.7780539032799236</v>
      </c>
      <c r="H2241" t="n">
        <v>0.0345023794126662</v>
      </c>
      <c r="I2241" t="n">
        <v>0.0359118516959215</v>
      </c>
      <c r="J2241" t="n">
        <v>0.0876860160056438</v>
      </c>
      <c r="K2241" t="n">
        <v>0.2308088217538063</v>
      </c>
      <c r="L2241" t="b">
        <v>0</v>
      </c>
      <c r="M2241" t="b">
        <v>0</v>
      </c>
      <c r="N2241" t="inlineStr">
        <is>
          <t>alt</t>
        </is>
      </c>
      <c r="O2241" t="n">
        <v>-50</v>
      </c>
      <c r="P2241" t="n">
        <v>0.003113</v>
      </c>
      <c r="Q2241" t="n">
        <v>80</v>
      </c>
      <c r="R2241" t="n">
        <v>0.0774</v>
      </c>
      <c r="S2241">
        <f>IMAGE("https://mitra.stanford.edu/kundaje/oak/projects/neuro-variants/variant_position/credible/roussos_2024/variant_figures/roussos_2024.infant.GLU/rs72871781_count_position.png",4,220,900)</f>
        <v/>
      </c>
      <c r="T2241">
        <f>IMAGE("https://mitra.stanford.edu/kundaje/oak/projects/neuro-variants/variant_position/credible/roussos_2024/variant_figures/roussos_2024.infant.GLU/rs72871781_profile_position.png",4,220,900)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0.00562151812</v>
      </c>
      <c r="G2242" t="n">
        <v>0.7310525426880772</v>
      </c>
      <c r="H2242" t="n">
        <v>0.0105301672505969</v>
      </c>
      <c r="I2242" t="n">
        <v>0.6889146565331697</v>
      </c>
      <c r="J2242" t="n">
        <v>0.018740492515267</v>
      </c>
      <c r="K2242" t="n">
        <v>0.5490269772956751</v>
      </c>
      <c r="L2242" t="b">
        <v>0</v>
      </c>
      <c r="M2242" t="b">
        <v>0</v>
      </c>
      <c r="N2242" t="inlineStr">
        <is>
          <t>alt</t>
        </is>
      </c>
      <c r="O2242" t="n">
        <v>90</v>
      </c>
      <c r="P2242" t="n">
        <v>0.02467</v>
      </c>
      <c r="Q2242" t="n">
        <v>-95</v>
      </c>
      <c r="R2242" t="n">
        <v>0.1194</v>
      </c>
      <c r="S2242">
        <f>IMAGE("https://mitra.stanford.edu/kundaje/oak/projects/neuro-variants/variant_position/credible/roussos_2024/variant_figures/roussos_2024.infant.GLU/rs62176163_count_position.png",4,220,900)</f>
        <v/>
      </c>
      <c r="T2242">
        <f>IMAGE("https://mitra.stanford.edu/kundaje/oak/projects/neuro-variants/variant_position/credible/roussos_2024/variant_figures/roussos_2024.infant.GLU/rs62176163_profile_position.png",4,220,900)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0.0009692810199999</v>
      </c>
      <c r="G2243" t="n">
        <v>0.3439330607521367</v>
      </c>
      <c r="H2243" t="n">
        <v>0.0183248172496589</v>
      </c>
      <c r="I2243" t="n">
        <v>0.2278165986476699</v>
      </c>
      <c r="J2243" t="n">
        <v>0.0277056372494984</v>
      </c>
      <c r="K2243" t="n">
        <v>0.4705242936242682</v>
      </c>
      <c r="L2243" t="b">
        <v>0</v>
      </c>
      <c r="M2243" t="b">
        <v>0</v>
      </c>
      <c r="N2243" t="inlineStr">
        <is>
          <t>alt</t>
        </is>
      </c>
      <c r="O2243" t="n">
        <v>-95</v>
      </c>
      <c r="P2243" t="n">
        <v>0.01923</v>
      </c>
      <c r="Q2243" t="n">
        <v>-20</v>
      </c>
      <c r="R2243" t="n">
        <v>0.01617</v>
      </c>
      <c r="S2243">
        <f>IMAGE("https://mitra.stanford.edu/kundaje/oak/projects/neuro-variants/variant_position/credible/roussos_2024/variant_figures/roussos_2024.infant.GLU/rs11892879_count_position.png",4,220,900)</f>
        <v/>
      </c>
      <c r="T2243">
        <f>IMAGE("https://mitra.stanford.edu/kundaje/oak/projects/neuro-variants/variant_position/credible/roussos_2024/variant_figures/roussos_2024.infant.GLU/rs11892879_profile_position.png",4,220,900)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-0.1175369428</v>
      </c>
      <c r="G2244" t="n">
        <v>0.0376314698496974</v>
      </c>
      <c r="H2244" t="n">
        <v>0.0282441824076956</v>
      </c>
      <c r="I2244" t="n">
        <v>0.07020273203841031</v>
      </c>
      <c r="J2244" t="n">
        <v>0.2311966754117154</v>
      </c>
      <c r="K2244" t="n">
        <v>0.092932538135603</v>
      </c>
      <c r="L2244" t="b">
        <v>0</v>
      </c>
      <c r="M2244" t="b">
        <v>0</v>
      </c>
      <c r="N2244" t="inlineStr">
        <is>
          <t>ref</t>
        </is>
      </c>
      <c r="O2244" t="n">
        <v>-90</v>
      </c>
      <c r="P2244" t="n">
        <v>0.01868</v>
      </c>
      <c r="Q2244" t="n">
        <v>-45</v>
      </c>
      <c r="R2244" t="n">
        <v>0.0586</v>
      </c>
      <c r="S2244">
        <f>IMAGE("https://mitra.stanford.edu/kundaje/oak/projects/neuro-variants/variant_position/credible/roussos_2024/variant_figures/roussos_2024.infant.GLU/rs12612835_count_position.png",4,220,900)</f>
        <v/>
      </c>
      <c r="T2244">
        <f>IMAGE("https://mitra.stanford.edu/kundaje/oak/projects/neuro-variants/variant_position/credible/roussos_2024/variant_figures/roussos_2024.infant.GLU/rs12612835_profile_position.png",4,220,900)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0.0214001954</v>
      </c>
      <c r="G2245" t="n">
        <v>0.4130256705862782</v>
      </c>
      <c r="H2245" t="n">
        <v>0.0370072169835783</v>
      </c>
      <c r="I2245" t="n">
        <v>0.0274073836180261</v>
      </c>
      <c r="J2245" t="n">
        <v>0.0289236976123811</v>
      </c>
      <c r="K2245" t="n">
        <v>0.4662456777756911</v>
      </c>
      <c r="L2245" t="b">
        <v>0</v>
      </c>
      <c r="M2245" t="b">
        <v>0</v>
      </c>
      <c r="N2245" t="inlineStr">
        <is>
          <t>alt</t>
        </is>
      </c>
      <c r="O2245" t="n">
        <v>100</v>
      </c>
      <c r="P2245" t="n">
        <v>0.02238</v>
      </c>
      <c r="Q2245" t="n">
        <v>-15</v>
      </c>
      <c r="R2245" t="n">
        <v>0.02759</v>
      </c>
      <c r="S2245">
        <f>IMAGE("https://mitra.stanford.edu/kundaje/oak/projects/neuro-variants/variant_position/credible/roussos_2024/variant_figures/roussos_2024.infant.GLU/rs1881046_count_position.png",4,220,900)</f>
        <v/>
      </c>
      <c r="T2245">
        <f>IMAGE("https://mitra.stanford.edu/kundaje/oak/projects/neuro-variants/variant_position/credible/roussos_2024/variant_figures/roussos_2024.infant.GLU/rs1881046_profile_position.png",4,220,900)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0.0653642876</v>
      </c>
      <c r="G2246" t="n">
        <v>0.1085713239254038</v>
      </c>
      <c r="H2246" t="n">
        <v>0.0114784983239768</v>
      </c>
      <c r="I2246" t="n">
        <v>0.593900258515528</v>
      </c>
      <c r="J2246" t="n">
        <v>0.0383485085650036</v>
      </c>
      <c r="K2246" t="n">
        <v>0.4075046776234941</v>
      </c>
      <c r="L2246" t="b">
        <v>0</v>
      </c>
      <c r="M2246" t="b">
        <v>0</v>
      </c>
      <c r="N2246" t="inlineStr">
        <is>
          <t>alt</t>
        </is>
      </c>
      <c r="O2246" t="n">
        <v>-90</v>
      </c>
      <c r="P2246" t="n">
        <v>0.02211</v>
      </c>
      <c r="Q2246" t="n">
        <v>55</v>
      </c>
      <c r="R2246" t="n">
        <v>0.078</v>
      </c>
      <c r="S2246">
        <f>IMAGE("https://mitra.stanford.edu/kundaje/oak/projects/neuro-variants/variant_position/credible/roussos_2024/variant_figures/roussos_2024.infant.GLU/rs2103263_count_position.png",4,220,900)</f>
        <v/>
      </c>
      <c r="T2246">
        <f>IMAGE("https://mitra.stanford.edu/kundaje/oak/projects/neuro-variants/variant_position/credible/roussos_2024/variant_figures/roussos_2024.infant.GLU/rs2103263_profile_position.png",4,220,900)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-0.0011724211916</v>
      </c>
      <c r="G2247" t="n">
        <v>0.9374840285435564</v>
      </c>
      <c r="H2247" t="n">
        <v>0.0349557137170326</v>
      </c>
      <c r="I2247" t="n">
        <v>0.0346278425855281</v>
      </c>
      <c r="J2247" t="n">
        <v>0.0701415375118498</v>
      </c>
      <c r="K2247" t="n">
        <v>0.2811665725124654</v>
      </c>
      <c r="L2247" t="b">
        <v>0</v>
      </c>
      <c r="M2247" t="b">
        <v>0</v>
      </c>
      <c r="N2247" t="inlineStr">
        <is>
          <t>ref</t>
        </is>
      </c>
      <c r="O2247" t="n">
        <v>85</v>
      </c>
      <c r="P2247" t="n">
        <v>0.021</v>
      </c>
      <c r="Q2247" t="n">
        <v>45</v>
      </c>
      <c r="R2247" t="n">
        <v>0.0888</v>
      </c>
      <c r="S2247">
        <f>IMAGE("https://mitra.stanford.edu/kundaje/oak/projects/neuro-variants/variant_position/credible/roussos_2024/variant_figures/roussos_2024.infant.GLU/rs35377330_count_position.png",4,220,900)</f>
        <v/>
      </c>
      <c r="T2247">
        <f>IMAGE("https://mitra.stanford.edu/kundaje/oak/projects/neuro-variants/variant_position/credible/roussos_2024/variant_figures/roussos_2024.infant.GLU/rs35377330_profile_position.png",4,220,900)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-0.0046925940539999</v>
      </c>
      <c r="G2248" t="n">
        <v>0.7857084509439854</v>
      </c>
      <c r="H2248" t="n">
        <v>0.0095953557961721</v>
      </c>
      <c r="I2248" t="n">
        <v>0.7790980799999518</v>
      </c>
      <c r="J2248" t="n">
        <v>0.0465739985449414</v>
      </c>
      <c r="K2248" t="n">
        <v>0.3543274087398593</v>
      </c>
      <c r="L2248" t="b">
        <v>0</v>
      </c>
      <c r="M2248" t="b">
        <v>0</v>
      </c>
      <c r="N2248" t="inlineStr">
        <is>
          <t>ref</t>
        </is>
      </c>
      <c r="O2248" t="n">
        <v>30</v>
      </c>
      <c r="P2248" t="n">
        <v>0.012924</v>
      </c>
      <c r="Q2248" t="n">
        <v>25</v>
      </c>
      <c r="R2248" t="n">
        <v>0.1458</v>
      </c>
      <c r="S2248">
        <f>IMAGE("https://mitra.stanford.edu/kundaje/oak/projects/neuro-variants/variant_position/credible/roussos_2024/variant_figures/roussos_2024.infant.GLU/rs13026547_count_position.png",4,220,900)</f>
        <v/>
      </c>
      <c r="T2248">
        <f>IMAGE("https://mitra.stanford.edu/kundaje/oak/projects/neuro-variants/variant_position/credible/roussos_2024/variant_figures/roussos_2024.infant.GLU/rs13026547_profile_position.png",4,220,900)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-0.0417670634</v>
      </c>
      <c r="G2249" t="n">
        <v>0.2206474404271286</v>
      </c>
      <c r="H2249" t="n">
        <v>0.009186168141615001</v>
      </c>
      <c r="I2249" t="n">
        <v>0.8128896962187195</v>
      </c>
      <c r="J2249" t="n">
        <v>0.1729777993342005</v>
      </c>
      <c r="K2249" t="n">
        <v>0.1269059310118201</v>
      </c>
      <c r="L2249" t="b">
        <v>0</v>
      </c>
      <c r="M2249" t="b">
        <v>0</v>
      </c>
      <c r="N2249" t="inlineStr">
        <is>
          <t>ref</t>
        </is>
      </c>
      <c r="O2249" t="n">
        <v>-100</v>
      </c>
      <c r="P2249" t="n">
        <v>0.04572</v>
      </c>
      <c r="Q2249" t="n">
        <v>95</v>
      </c>
      <c r="R2249" t="n">
        <v>0.2578</v>
      </c>
      <c r="S2249">
        <f>IMAGE("https://mitra.stanford.edu/kundaje/oak/projects/neuro-variants/variant_position/credible/roussos_2024/variant_figures/roussos_2024.infant.GLU/rs7604885_count_position.png",4,220,900)</f>
        <v/>
      </c>
      <c r="T2249">
        <f>IMAGE("https://mitra.stanford.edu/kundaje/oak/projects/neuro-variants/variant_position/credible/roussos_2024/variant_figures/roussos_2024.infant.GLU/rs7604885_profile_position.png",4,220,900)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-0.0023836583799999</v>
      </c>
      <c r="G2250" t="n">
        <v>0.5173304592754544</v>
      </c>
      <c r="H2250" t="n">
        <v>0.0195376864205247</v>
      </c>
      <c r="I2250" t="n">
        <v>0.1970974404115179</v>
      </c>
      <c r="J2250" t="n">
        <v>0.056296435106594</v>
      </c>
      <c r="K2250" t="n">
        <v>0.3183087922345605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0.1042</v>
      </c>
      <c r="Q2250" t="n">
        <v>-100</v>
      </c>
      <c r="R2250" t="n">
        <v>0.0667</v>
      </c>
      <c r="S2250">
        <f>IMAGE("https://mitra.stanford.edu/kundaje/oak/projects/neuro-variants/variant_position/credible/roussos_2024/variant_figures/roussos_2024.infant.GLU/rs13021985_count_position.png",4,220,900)</f>
        <v/>
      </c>
      <c r="T2250">
        <f>IMAGE("https://mitra.stanford.edu/kundaje/oak/projects/neuro-variants/variant_position/credible/roussos_2024/variant_figures/roussos_2024.infant.GLU/rs13021985_profile_position.png",4,220,900)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0.0311953364</v>
      </c>
      <c r="G2251" t="n">
        <v>0.3014839899300117</v>
      </c>
      <c r="H2251" t="n">
        <v>0.0512650500566229</v>
      </c>
      <c r="I2251" t="n">
        <v>0.0066844138092303</v>
      </c>
      <c r="J2251" t="n">
        <v>0.3390209219779977</v>
      </c>
      <c r="K2251" t="n">
        <v>0.0579552968361566</v>
      </c>
      <c r="L2251" t="b">
        <v>1</v>
      </c>
      <c r="M2251" t="b">
        <v>1</v>
      </c>
      <c r="N2251" t="inlineStr">
        <is>
          <t>alt</t>
        </is>
      </c>
      <c r="O2251" t="n">
        <v>90</v>
      </c>
      <c r="P2251" t="n">
        <v>0.0448</v>
      </c>
      <c r="Q2251" t="n">
        <v>100</v>
      </c>
      <c r="R2251" t="n">
        <v>0.0873</v>
      </c>
      <c r="S2251">
        <f>IMAGE("https://mitra.stanford.edu/kundaje/oak/projects/neuro-variants/variant_position/credible/roussos_2024/variant_figures/roussos_2024.infant.GLU/rs4295021_count_position.png",4,220,900)</f>
        <v/>
      </c>
      <c r="T2251">
        <f>IMAGE("https://mitra.stanford.edu/kundaje/oak/projects/neuro-variants/variant_position/credible/roussos_2024/variant_figures/roussos_2024.infant.GLU/rs4295021_profile_position.png",4,220,900)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0.026377</v>
      </c>
      <c r="G2252" t="n">
        <v>0.3599319415748637</v>
      </c>
      <c r="H2252" t="n">
        <v>0.0153222705301246</v>
      </c>
      <c r="I2252" t="n">
        <v>0.3424353543526667</v>
      </c>
      <c r="J2252" t="n">
        <v>0.0052029365726757</v>
      </c>
      <c r="K2252" t="n">
        <v>0.7619537533159879</v>
      </c>
      <c r="L2252" t="b">
        <v>0</v>
      </c>
      <c r="M2252" t="b">
        <v>0</v>
      </c>
      <c r="N2252" t="inlineStr">
        <is>
          <t>alt</t>
        </is>
      </c>
      <c r="O2252" t="n">
        <v>10</v>
      </c>
      <c r="P2252" t="n">
        <v>0.003914</v>
      </c>
      <c r="Q2252" t="n">
        <v>-100</v>
      </c>
      <c r="R2252" t="n">
        <v>0.108</v>
      </c>
      <c r="S2252">
        <f>IMAGE("https://mitra.stanford.edu/kundaje/oak/projects/neuro-variants/variant_position/credible/roussos_2024/variant_figures/roussos_2024.infant.GLU/rs2909455_count_position.png",4,220,900)</f>
        <v/>
      </c>
      <c r="T2252">
        <f>IMAGE("https://mitra.stanford.edu/kundaje/oak/projects/neuro-variants/variant_position/credible/roussos_2024/variant_figures/roussos_2024.infant.GLU/rs2909455_profile_position.png",4,220,900)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-0.0101450194</v>
      </c>
      <c r="G2253" t="n">
        <v>0.4916372616682815</v>
      </c>
      <c r="H2253" t="n">
        <v>0.0098472410096906</v>
      </c>
      <c r="I2253" t="n">
        <v>0.7386250473883459</v>
      </c>
      <c r="J2253" t="n">
        <v>0.0318624749222865</v>
      </c>
      <c r="K2253" t="n">
        <v>0.4432787698850902</v>
      </c>
      <c r="L2253" t="b">
        <v>0</v>
      </c>
      <c r="M2253" t="b">
        <v>0</v>
      </c>
      <c r="N2253" t="inlineStr">
        <is>
          <t>ref</t>
        </is>
      </c>
      <c r="O2253" t="n">
        <v>30</v>
      </c>
      <c r="P2253" t="n">
        <v>0.01117</v>
      </c>
      <c r="Q2253" t="n">
        <v>-95</v>
      </c>
      <c r="R2253" t="n">
        <v>0.0801</v>
      </c>
      <c r="S2253">
        <f>IMAGE("https://mitra.stanford.edu/kundaje/oak/projects/neuro-variants/variant_position/credible/roussos_2024/variant_figures/roussos_2024.infant.GLU/rs975341_count_position.png",4,220,900)</f>
        <v/>
      </c>
      <c r="T2253">
        <f>IMAGE("https://mitra.stanford.edu/kundaje/oak/projects/neuro-variants/variant_position/credible/roussos_2024/variant_figures/roussos_2024.infant.GLU/rs975341_profile_position.png",4,220,900)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-0.17647234</v>
      </c>
      <c r="G2254" t="n">
        <v>0.0138450556444153</v>
      </c>
      <c r="H2254" t="n">
        <v>0.0477459306474146</v>
      </c>
      <c r="I2254" t="n">
        <v>0.0093890771253011</v>
      </c>
      <c r="J2254" t="n">
        <v>0.08971097246411951</v>
      </c>
      <c r="K2254" t="n">
        <v>0.2364590242907771</v>
      </c>
      <c r="L2254" t="b">
        <v>1</v>
      </c>
      <c r="M2254" t="b">
        <v>1</v>
      </c>
      <c r="N2254" t="inlineStr">
        <is>
          <t>ref</t>
        </is>
      </c>
      <c r="O2254" t="n">
        <v>100</v>
      </c>
      <c r="P2254" t="n">
        <v>0.034</v>
      </c>
      <c r="Q2254" t="n">
        <v>50</v>
      </c>
      <c r="R2254" t="n">
        <v>0.03296</v>
      </c>
      <c r="S2254">
        <f>IMAGE("https://mitra.stanford.edu/kundaje/oak/projects/neuro-variants/variant_position/credible/roussos_2024/variant_figures/roussos_2024.infant.GLU/rs6722396_count_position.png",4,220,900)</f>
        <v/>
      </c>
      <c r="T2254">
        <f>IMAGE("https://mitra.stanford.edu/kundaje/oak/projects/neuro-variants/variant_position/credible/roussos_2024/variant_figures/roussos_2024.infant.GLU/rs6722396_profile_position.png",4,220,900)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0.0710516268</v>
      </c>
      <c r="G2255" t="n">
        <v>0.09643170186114031</v>
      </c>
      <c r="H2255" t="n">
        <v>0.0100068004295423</v>
      </c>
      <c r="I2255" t="n">
        <v>0.7241657796374421</v>
      </c>
      <c r="J2255" t="n">
        <v>0.4812628144359444</v>
      </c>
      <c r="K2255" t="n">
        <v>0.0333270803291401</v>
      </c>
      <c r="L2255" t="b">
        <v>0</v>
      </c>
      <c r="M2255" t="b">
        <v>0</v>
      </c>
      <c r="N2255" t="inlineStr">
        <is>
          <t>alt</t>
        </is>
      </c>
      <c r="O2255" t="n">
        <v>100</v>
      </c>
      <c r="P2255" t="n">
        <v>0.02539</v>
      </c>
      <c r="Q2255" t="n">
        <v>-65</v>
      </c>
      <c r="R2255" t="n">
        <v>0.0842</v>
      </c>
      <c r="S2255">
        <f>IMAGE("https://mitra.stanford.edu/kundaje/oak/projects/neuro-variants/variant_position/credible/roussos_2024/variant_figures/roussos_2024.infant.GLU/rs10189241_count_position.png",4,220,900)</f>
        <v/>
      </c>
      <c r="T2255">
        <f>IMAGE("https://mitra.stanford.edu/kundaje/oak/projects/neuro-variants/variant_position/credible/roussos_2024/variant_figures/roussos_2024.infant.GLU/rs10189241_profile_position.png",4,220,900)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-0.2423361439999999</v>
      </c>
      <c r="G2256" t="n">
        <v>0.0065672779688855</v>
      </c>
      <c r="H2256" t="n">
        <v>0.0424158717408427</v>
      </c>
      <c r="I2256" t="n">
        <v>0.0164434056976646</v>
      </c>
      <c r="J2256" t="n">
        <v>0.4872814656407769</v>
      </c>
      <c r="K2256" t="n">
        <v>0.0321798979650934</v>
      </c>
      <c r="L2256" t="b">
        <v>1</v>
      </c>
      <c r="M2256" t="b">
        <v>1</v>
      </c>
      <c r="N2256" t="inlineStr">
        <is>
          <t>ref</t>
        </is>
      </c>
      <c r="O2256" t="n">
        <v>-5</v>
      </c>
      <c r="P2256" t="n">
        <v>0.001289</v>
      </c>
      <c r="Q2256" t="n">
        <v>50</v>
      </c>
      <c r="R2256" t="n">
        <v>0.1646</v>
      </c>
      <c r="S2256">
        <f>IMAGE("https://mitra.stanford.edu/kundaje/oak/projects/neuro-variants/variant_position/credible/roussos_2024/variant_figures/roussos_2024.infant.GLU/rs7564698_count_position.png",4,220,900)</f>
        <v/>
      </c>
      <c r="T2256">
        <f>IMAGE("https://mitra.stanford.edu/kundaje/oak/projects/neuro-variants/variant_position/credible/roussos_2024/variant_figures/roussos_2024.infant.GLU/rs7564698_profile_position.png",4,220,900)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-0.01853474504</v>
      </c>
      <c r="G2257" t="n">
        <v>0.3997279887945177</v>
      </c>
      <c r="H2257" t="n">
        <v>0.0157133833390034</v>
      </c>
      <c r="I2257" t="n">
        <v>0.3337822463245758</v>
      </c>
      <c r="J2257" t="n">
        <v>0.5378359311272295</v>
      </c>
      <c r="K2257" t="n">
        <v>0.0265831833525058</v>
      </c>
      <c r="L2257" t="b">
        <v>0</v>
      </c>
      <c r="M2257" t="b">
        <v>0</v>
      </c>
      <c r="N2257" t="inlineStr">
        <is>
          <t>ref</t>
        </is>
      </c>
      <c r="O2257" t="n">
        <v>85</v>
      </c>
      <c r="P2257" t="n">
        <v>0.02098</v>
      </c>
      <c r="Q2257" t="n">
        <v>-10</v>
      </c>
      <c r="R2257" t="n">
        <v>0.03418</v>
      </c>
      <c r="S2257">
        <f>IMAGE("https://mitra.stanford.edu/kundaje/oak/projects/neuro-variants/variant_position/credible/roussos_2024/variant_figures/roussos_2024.infant.GLU/rs4668081_count_position.png",4,220,900)</f>
        <v/>
      </c>
      <c r="T2257">
        <f>IMAGE("https://mitra.stanford.edu/kundaje/oak/projects/neuro-variants/variant_position/credible/roussos_2024/variant_figures/roussos_2024.infant.GLU/rs4668081_profile_position.png",4,220,900)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-0.0566788214</v>
      </c>
      <c r="G2258" t="n">
        <v>0.1461839615509963</v>
      </c>
      <c r="H2258" t="n">
        <v>0.0128498528800646</v>
      </c>
      <c r="I2258" t="n">
        <v>0.4909676862167731</v>
      </c>
      <c r="J2258" t="n">
        <v>0.0233062898212041</v>
      </c>
      <c r="K2258" t="n">
        <v>0.5019737655300952</v>
      </c>
      <c r="L2258" t="b">
        <v>0</v>
      </c>
      <c r="M2258" t="b">
        <v>0</v>
      </c>
      <c r="N2258" t="inlineStr">
        <is>
          <t>ref</t>
        </is>
      </c>
      <c r="O2258" t="n">
        <v>-25</v>
      </c>
      <c r="P2258" t="n">
        <v>0.0048</v>
      </c>
      <c r="Q2258" t="n">
        <v>20</v>
      </c>
      <c r="R2258" t="n">
        <v>0.01369</v>
      </c>
      <c r="S2258">
        <f>IMAGE("https://mitra.stanford.edu/kundaje/oak/projects/neuro-variants/variant_position/credible/roussos_2024/variant_figures/roussos_2024.infant.GLU/rs4277491_count_position.png",4,220,900)</f>
        <v/>
      </c>
      <c r="T2258">
        <f>IMAGE("https://mitra.stanford.edu/kundaje/oak/projects/neuro-variants/variant_position/credible/roussos_2024/variant_figures/roussos_2024.infant.GLU/rs4277491_profile_position.png",4,220,900)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-0.214696472</v>
      </c>
      <c r="G2259" t="n">
        <v>0.0082567450494792</v>
      </c>
      <c r="H2259" t="n">
        <v>0.0275300172312876</v>
      </c>
      <c r="I2259" t="n">
        <v>0.07618266119381389</v>
      </c>
      <c r="J2259" t="n">
        <v>0.2430708348949491</v>
      </c>
      <c r="K2259" t="n">
        <v>0.0897204369568981</v>
      </c>
      <c r="L2259" t="b">
        <v>1</v>
      </c>
      <c r="M2259" t="b">
        <v>1</v>
      </c>
      <c r="N2259" t="inlineStr">
        <is>
          <t>ref</t>
        </is>
      </c>
      <c r="O2259" t="n">
        <v>-50</v>
      </c>
      <c r="P2259" t="n">
        <v>0.00737</v>
      </c>
      <c r="Q2259" t="n">
        <v>60</v>
      </c>
      <c r="R2259" t="n">
        <v>0.1128</v>
      </c>
      <c r="S2259">
        <f>IMAGE("https://mitra.stanford.edu/kundaje/oak/projects/neuro-variants/variant_position/credible/roussos_2024/variant_figures/roussos_2024.infant.GLU/rs75696288_count_position.png",4,220,900)</f>
        <v/>
      </c>
      <c r="T2259">
        <f>IMAGE("https://mitra.stanford.edu/kundaje/oak/projects/neuro-variants/variant_position/credible/roussos_2024/variant_figures/roussos_2024.infant.GLU/rs75696288_profile_position.png",4,220,900)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-0.0592001548</v>
      </c>
      <c r="G2260" t="n">
        <v>0.1334705443952853</v>
      </c>
      <c r="H2260" t="n">
        <v>0.0099153036059245</v>
      </c>
      <c r="I2260" t="n">
        <v>0.7479075472175488</v>
      </c>
      <c r="J2260" t="n">
        <v>0.1589265636367644</v>
      </c>
      <c r="K2260" t="n">
        <v>0.1352833846466924</v>
      </c>
      <c r="L2260" t="b">
        <v>0</v>
      </c>
      <c r="M2260" t="b">
        <v>0</v>
      </c>
      <c r="N2260" t="inlineStr">
        <is>
          <t>ref</t>
        </is>
      </c>
      <c r="O2260" t="n">
        <v>95</v>
      </c>
      <c r="P2260" t="n">
        <v>0.003616</v>
      </c>
      <c r="Q2260" t="n">
        <v>50</v>
      </c>
      <c r="R2260" t="n">
        <v>0.012726</v>
      </c>
      <c r="S2260">
        <f>IMAGE("https://mitra.stanford.edu/kundaje/oak/projects/neuro-variants/variant_position/credible/roussos_2024/variant_figures/roussos_2024.infant.GLU/rs1008151_count_position.png",4,220,900)</f>
        <v/>
      </c>
      <c r="T2260">
        <f>IMAGE("https://mitra.stanford.edu/kundaje/oak/projects/neuro-variants/variant_position/credible/roussos_2024/variant_figures/roussos_2024.infant.GLU/rs1008151_profile_position.png",4,220,900)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0.0137606198</v>
      </c>
      <c r="G2261" t="n">
        <v>0.5419157252160709</v>
      </c>
      <c r="H2261" t="n">
        <v>0.0430601370969312</v>
      </c>
      <c r="I2261" t="n">
        <v>0.0150675068530255</v>
      </c>
      <c r="J2261" t="n">
        <v>0.3779834211512599</v>
      </c>
      <c r="K2261" t="n">
        <v>0.0497568554223574</v>
      </c>
      <c r="L2261" t="b">
        <v>1</v>
      </c>
      <c r="M2261" t="b">
        <v>0</v>
      </c>
      <c r="N2261" t="inlineStr">
        <is>
          <t>alt</t>
        </is>
      </c>
      <c r="O2261" t="n">
        <v>100</v>
      </c>
      <c r="P2261" t="n">
        <v>0.009926000000000001</v>
      </c>
      <c r="Q2261" t="n">
        <v>55</v>
      </c>
      <c r="R2261" t="n">
        <v>0.05396</v>
      </c>
      <c r="S2261">
        <f>IMAGE("https://mitra.stanford.edu/kundaje/oak/projects/neuro-variants/variant_position/credible/roussos_2024/variant_figures/roussos_2024.infant.GLU/rs1001780_count_position.png",4,220,900)</f>
        <v/>
      </c>
      <c r="T2261">
        <f>IMAGE("https://mitra.stanford.edu/kundaje/oak/projects/neuro-variants/variant_position/credible/roussos_2024/variant_figures/roussos_2024.infant.GLU/rs1001780_profile_position.png",4,220,900)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-0.14105124</v>
      </c>
      <c r="G2262" t="n">
        <v>0.0236493783961823</v>
      </c>
      <c r="H2262" t="n">
        <v>0.0221051683854005</v>
      </c>
      <c r="I2262" t="n">
        <v>0.1422405020051485</v>
      </c>
      <c r="J2262" t="n">
        <v>0.3858098723516832</v>
      </c>
      <c r="K2262" t="n">
        <v>0.0488000009168694</v>
      </c>
      <c r="L2262" t="b">
        <v>0</v>
      </c>
      <c r="M2262" t="b">
        <v>0</v>
      </c>
      <c r="N2262" t="inlineStr">
        <is>
          <t>ref</t>
        </is>
      </c>
      <c r="O2262" t="n">
        <v>35</v>
      </c>
      <c r="P2262" t="n">
        <v>0.003891</v>
      </c>
      <c r="Q2262" t="n">
        <v>45</v>
      </c>
      <c r="R2262" t="n">
        <v>0.0751</v>
      </c>
      <c r="S2262">
        <f>IMAGE("https://mitra.stanford.edu/kundaje/oak/projects/neuro-variants/variant_position/credible/roussos_2024/variant_figures/roussos_2024.infant.GLU/rs62184960_count_position.png",4,220,900)</f>
        <v/>
      </c>
      <c r="T2262">
        <f>IMAGE("https://mitra.stanford.edu/kundaje/oak/projects/neuro-variants/variant_position/credible/roussos_2024/variant_figures/roussos_2024.infant.GLU/rs62184960_profile_position.png",4,220,900)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-0.079366332</v>
      </c>
      <c r="G2263" t="n">
        <v>0.08465388202202249</v>
      </c>
      <c r="H2263" t="n">
        <v>0.016670643749219</v>
      </c>
      <c r="I2263" t="n">
        <v>0.2859830482158205</v>
      </c>
      <c r="J2263" t="n">
        <v>0.019728168610419</v>
      </c>
      <c r="K2263" t="n">
        <v>0.5379420151529765</v>
      </c>
      <c r="L2263" t="b">
        <v>0</v>
      </c>
      <c r="M2263" t="b">
        <v>0</v>
      </c>
      <c r="N2263" t="inlineStr">
        <is>
          <t>ref</t>
        </is>
      </c>
      <c r="O2263" t="n">
        <v>-45</v>
      </c>
      <c r="P2263" t="n">
        <v>0.003334</v>
      </c>
      <c r="Q2263" t="n">
        <v>-100</v>
      </c>
      <c r="R2263" t="n">
        <v>0.1685</v>
      </c>
      <c r="S2263">
        <f>IMAGE("https://mitra.stanford.edu/kundaje/oak/projects/neuro-variants/variant_position/credible/roussos_2024/variant_figures/roussos_2024.infant.GLU/rs145078188_count_position.png",4,220,900)</f>
        <v/>
      </c>
      <c r="T2263">
        <f>IMAGE("https://mitra.stanford.edu/kundaje/oak/projects/neuro-variants/variant_position/credible/roussos_2024/variant_figures/roussos_2024.infant.GLU/rs145078188_profile_position.png",4,220,900)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0.0327400192</v>
      </c>
      <c r="G2264" t="n">
        <v>0.2781788215900083</v>
      </c>
      <c r="H2264" t="n">
        <v>0.0093423150224705</v>
      </c>
      <c r="I2264" t="n">
        <v>0.7952472871047485</v>
      </c>
      <c r="J2264" t="n">
        <v>0.0472309795189487</v>
      </c>
      <c r="K2264" t="n">
        <v>0.3546596494462969</v>
      </c>
      <c r="L2264" t="b">
        <v>0</v>
      </c>
      <c r="M2264" t="b">
        <v>0</v>
      </c>
      <c r="N2264" t="inlineStr">
        <is>
          <t>alt</t>
        </is>
      </c>
      <c r="O2264" t="n">
        <v>-45</v>
      </c>
      <c r="P2264" t="n">
        <v>0.00654</v>
      </c>
      <c r="Q2264" t="n">
        <v>60</v>
      </c>
      <c r="R2264" t="n">
        <v>0.337</v>
      </c>
      <c r="S2264">
        <f>IMAGE("https://mitra.stanford.edu/kundaje/oak/projects/neuro-variants/variant_position/credible/roussos_2024/variant_figures/roussos_2024.infant.GLU/rs11675794_count_position.png",4,220,900)</f>
        <v/>
      </c>
      <c r="T2264">
        <f>IMAGE("https://mitra.stanford.edu/kundaje/oak/projects/neuro-variants/variant_position/credible/roussos_2024/variant_figures/roussos_2024.infant.GLU/rs11675794_profile_position.png",4,220,900)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-0.00482824234</v>
      </c>
      <c r="G2265" t="n">
        <v>0.628191961341938</v>
      </c>
      <c r="H2265" t="n">
        <v>0.0352327844052069</v>
      </c>
      <c r="I2265" t="n">
        <v>0.0331745815655953</v>
      </c>
      <c r="J2265" t="n">
        <v>0.1773242355431115</v>
      </c>
      <c r="K2265" t="n">
        <v>0.122469612708293</v>
      </c>
      <c r="L2265" t="b">
        <v>0</v>
      </c>
      <c r="M2265" t="b">
        <v>0</v>
      </c>
      <c r="N2265" t="inlineStr">
        <is>
          <t>ref</t>
        </is>
      </c>
      <c r="O2265" t="n">
        <v>15</v>
      </c>
      <c r="P2265" t="n">
        <v>0.001099</v>
      </c>
      <c r="Q2265" t="n">
        <v>15</v>
      </c>
      <c r="R2265" t="n">
        <v>0.03674</v>
      </c>
      <c r="S2265">
        <f>IMAGE("https://mitra.stanford.edu/kundaje/oak/projects/neuro-variants/variant_position/credible/roussos_2024/variant_figures/roussos_2024.infant.GLU/rs728534_count_position.png",4,220,900)</f>
        <v/>
      </c>
      <c r="T2265">
        <f>IMAGE("https://mitra.stanford.edu/kundaje/oak/projects/neuro-variants/variant_position/credible/roussos_2024/variant_figures/roussos_2024.infant.GLU/rs728534_profile_position.png",4,220,900)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0.02108395072</v>
      </c>
      <c r="G2266" t="n">
        <v>0.4332876370201446</v>
      </c>
      <c r="H2266" t="n">
        <v>0.0423568661522973</v>
      </c>
      <c r="I2266" t="n">
        <v>0.0159462841723848</v>
      </c>
      <c r="J2266" t="n">
        <v>0.08730020503097501</v>
      </c>
      <c r="K2266" t="n">
        <v>0.2306103654033363</v>
      </c>
      <c r="L2266" t="b">
        <v>1</v>
      </c>
      <c r="M2266" t="b">
        <v>0</v>
      </c>
      <c r="N2266" t="inlineStr">
        <is>
          <t>alt</t>
        </is>
      </c>
      <c r="O2266" t="n">
        <v>80</v>
      </c>
      <c r="P2266" t="n">
        <v>0.00206</v>
      </c>
      <c r="Q2266" t="n">
        <v>-50</v>
      </c>
      <c r="R2266" t="n">
        <v>0.1523</v>
      </c>
      <c r="S2266">
        <f>IMAGE("https://mitra.stanford.edu/kundaje/oak/projects/neuro-variants/variant_position/credible/roussos_2024/variant_figures/roussos_2024.infant.GLU/rs1445542_count_position.png",4,220,900)</f>
        <v/>
      </c>
      <c r="T2266">
        <f>IMAGE("https://mitra.stanford.edu/kundaje/oak/projects/neuro-variants/variant_position/credible/roussos_2024/variant_figures/roussos_2024.infant.GLU/rs1445542_profile_position.png",4,220,900)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-0.008078380454</v>
      </c>
      <c r="G2267" t="n">
        <v>0.6455231150712013</v>
      </c>
      <c r="H2267" t="n">
        <v>0.0315492607072099</v>
      </c>
      <c r="I2267" t="n">
        <v>0.0489444769648748</v>
      </c>
      <c r="J2267" t="n">
        <v>0.0104279194867611</v>
      </c>
      <c r="K2267" t="n">
        <v>0.6651375625293398</v>
      </c>
      <c r="L2267" t="b">
        <v>0</v>
      </c>
      <c r="M2267" t="b">
        <v>0</v>
      </c>
      <c r="N2267" t="inlineStr">
        <is>
          <t>ref</t>
        </is>
      </c>
      <c r="O2267" t="n">
        <v>100</v>
      </c>
      <c r="P2267" t="n">
        <v>0.02661</v>
      </c>
      <c r="Q2267" t="n">
        <v>100</v>
      </c>
      <c r="R2267" t="n">
        <v>0.0699</v>
      </c>
      <c r="S2267">
        <f>IMAGE("https://mitra.stanford.edu/kundaje/oak/projects/neuro-variants/variant_position/credible/roussos_2024/variant_figures/roussos_2024.infant.GLU/rs11680198_count_position.png",4,220,900)</f>
        <v/>
      </c>
      <c r="T2267">
        <f>IMAGE("https://mitra.stanford.edu/kundaje/oak/projects/neuro-variants/variant_position/credible/roussos_2024/variant_figures/roussos_2024.infant.GLU/rs11680198_profile_position.png",4,220,900)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0.1393592552</v>
      </c>
      <c r="G2268" t="n">
        <v>0.0241082718410707</v>
      </c>
      <c r="H2268" t="n">
        <v>0.0440719795098776</v>
      </c>
      <c r="I2268" t="n">
        <v>0.0134528216093211</v>
      </c>
      <c r="J2268" t="n">
        <v>0.0390429683194073</v>
      </c>
      <c r="K2268" t="n">
        <v>0.3992447835286383</v>
      </c>
      <c r="L2268" t="b">
        <v>1</v>
      </c>
      <c r="M2268" t="b">
        <v>0</v>
      </c>
      <c r="N2268" t="inlineStr">
        <is>
          <t>alt</t>
        </is>
      </c>
      <c r="O2268" t="n">
        <v>100</v>
      </c>
      <c r="P2268" t="n">
        <v>0.1116</v>
      </c>
      <c r="Q2268" t="n">
        <v>-75</v>
      </c>
      <c r="R2268" t="n">
        <v>0.09909999999999999</v>
      </c>
      <c r="S2268">
        <f>IMAGE("https://mitra.stanford.edu/kundaje/oak/projects/neuro-variants/variant_position/credible/roussos_2024/variant_figures/roussos_2024.infant.GLU/rs968109_count_position.png",4,220,900)</f>
        <v/>
      </c>
      <c r="T2268">
        <f>IMAGE("https://mitra.stanford.edu/kundaje/oak/projects/neuro-variants/variant_position/credible/roussos_2024/variant_figures/roussos_2024.infant.GLU/rs968109_profile_position.png",4,220,900)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-0.01577528614</v>
      </c>
      <c r="G2269" t="n">
        <v>0.4939036479149662</v>
      </c>
      <c r="H2269" t="n">
        <v>0.0135322620185886</v>
      </c>
      <c r="I2269" t="n">
        <v>0.4462893954615594</v>
      </c>
      <c r="J2269" t="n">
        <v>0.0035505632840229</v>
      </c>
      <c r="K2269" t="n">
        <v>0.7932934064844193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0.047</v>
      </c>
      <c r="Q2269" t="n">
        <v>40</v>
      </c>
      <c r="R2269" t="n">
        <v>0.0304</v>
      </c>
      <c r="S2269">
        <f>IMAGE("https://mitra.stanford.edu/kundaje/oak/projects/neuro-variants/variant_position/credible/roussos_2024/variant_figures/roussos_2024.infant.GLU/rs4471907_count_position.png",4,220,900)</f>
        <v/>
      </c>
      <c r="T2269">
        <f>IMAGE("https://mitra.stanford.edu/kundaje/oak/projects/neuro-variants/variant_position/credible/roussos_2024/variant_figures/roussos_2024.infant.GLU/rs4471907_profile_position.png",4,220,900)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0.0251035452</v>
      </c>
      <c r="G2270" t="n">
        <v>0.3663114622111466</v>
      </c>
      <c r="H2270" t="n">
        <v>0.0282555965066099</v>
      </c>
      <c r="I2270" t="n">
        <v>0.06949091882609761</v>
      </c>
      <c r="J2270" t="n">
        <v>0.0215999029960977</v>
      </c>
      <c r="K2270" t="n">
        <v>0.5186242914824819</v>
      </c>
      <c r="L2270" t="b">
        <v>0</v>
      </c>
      <c r="M2270" t="b">
        <v>0</v>
      </c>
      <c r="N2270" t="inlineStr">
        <is>
          <t>alt</t>
        </is>
      </c>
      <c r="O2270" t="n">
        <v>-35</v>
      </c>
      <c r="P2270" t="n">
        <v>0.01712</v>
      </c>
      <c r="Q2270" t="n">
        <v>-95</v>
      </c>
      <c r="R2270" t="n">
        <v>0.1024</v>
      </c>
      <c r="S2270">
        <f>IMAGE("https://mitra.stanford.edu/kundaje/oak/projects/neuro-variants/variant_position/credible/roussos_2024/variant_figures/roussos_2024.infant.GLU/rs10175759_count_position.png",4,220,900)</f>
        <v/>
      </c>
      <c r="T2270">
        <f>IMAGE("https://mitra.stanford.edu/kundaje/oak/projects/neuro-variants/variant_position/credible/roussos_2024/variant_figures/roussos_2024.infant.GLU/rs10175759_profile_position.png",4,220,900)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0.0446957578</v>
      </c>
      <c r="G2271" t="n">
        <v>0.2055249446966113</v>
      </c>
      <c r="H2271" t="n">
        <v>0.0400475327433686</v>
      </c>
      <c r="I2271" t="n">
        <v>0.0200833359258566</v>
      </c>
      <c r="J2271" t="n">
        <v>0.0350999801582927</v>
      </c>
      <c r="K2271" t="n">
        <v>0.4247191754962725</v>
      </c>
      <c r="L2271" t="b">
        <v>0</v>
      </c>
      <c r="M2271" t="b">
        <v>0</v>
      </c>
      <c r="N2271" t="inlineStr">
        <is>
          <t>alt</t>
        </is>
      </c>
      <c r="O2271" t="n">
        <v>100</v>
      </c>
      <c r="P2271" t="n">
        <v>0.01628</v>
      </c>
      <c r="Q2271" t="n">
        <v>-60</v>
      </c>
      <c r="R2271" t="n">
        <v>0.0514</v>
      </c>
      <c r="S2271">
        <f>IMAGE("https://mitra.stanford.edu/kundaje/oak/projects/neuro-variants/variant_position/credible/roussos_2024/variant_figures/roussos_2024.infant.GLU/rs6712343_count_position.png",4,220,900)</f>
        <v/>
      </c>
      <c r="T2271">
        <f>IMAGE("https://mitra.stanford.edu/kundaje/oak/projects/neuro-variants/variant_position/credible/roussos_2024/variant_figures/roussos_2024.infant.GLU/rs6712343_profile_position.png",4,220,900)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-0.086885146</v>
      </c>
      <c r="G2272" t="n">
        <v>0.07235466595400181</v>
      </c>
      <c r="H2272" t="n">
        <v>0.0236996697439533</v>
      </c>
      <c r="I2272" t="n">
        <v>0.1179979364628812</v>
      </c>
      <c r="J2272" t="n">
        <v>0.0290912498070944</v>
      </c>
      <c r="K2272" t="n">
        <v>0.4655472888812277</v>
      </c>
      <c r="L2272" t="b">
        <v>0</v>
      </c>
      <c r="M2272" t="b">
        <v>0</v>
      </c>
      <c r="N2272" t="inlineStr">
        <is>
          <t>ref</t>
        </is>
      </c>
      <c r="O2272" t="n">
        <v>100</v>
      </c>
      <c r="P2272" t="n">
        <v>0.00448</v>
      </c>
      <c r="Q2272" t="n">
        <v>100</v>
      </c>
      <c r="R2272" t="n">
        <v>0.01953</v>
      </c>
      <c r="S2272">
        <f>IMAGE("https://mitra.stanford.edu/kundaje/oak/projects/neuro-variants/variant_position/credible/roussos_2024/variant_figures/roussos_2024.infant.GLU/rs6714301_count_position.png",4,220,900)</f>
        <v/>
      </c>
      <c r="T2272">
        <f>IMAGE("https://mitra.stanford.edu/kundaje/oak/projects/neuro-variants/variant_position/credible/roussos_2024/variant_figures/roussos_2024.infant.GLU/rs6714301_profile_position.png",4,220,900)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-0.01863448114</v>
      </c>
      <c r="G2273" t="n">
        <v>0.4445889133823343</v>
      </c>
      <c r="H2273" t="n">
        <v>0.0323026393222366</v>
      </c>
      <c r="I2273" t="n">
        <v>0.0450432180288285</v>
      </c>
      <c r="J2273" t="n">
        <v>0.0603783152185894</v>
      </c>
      <c r="K2273" t="n">
        <v>0.3012169003271531</v>
      </c>
      <c r="L2273" t="b">
        <v>0</v>
      </c>
      <c r="M2273" t="b">
        <v>0</v>
      </c>
      <c r="N2273" t="inlineStr">
        <is>
          <t>ref</t>
        </is>
      </c>
      <c r="O2273" t="n">
        <v>-85</v>
      </c>
      <c r="P2273" t="n">
        <v>0.03528</v>
      </c>
      <c r="Q2273" t="n">
        <v>20</v>
      </c>
      <c r="R2273" t="n">
        <v>0.0348</v>
      </c>
      <c r="S2273">
        <f>IMAGE("https://mitra.stanford.edu/kundaje/oak/projects/neuro-variants/variant_position/credible/roussos_2024/variant_figures/roussos_2024.infant.GLU/rs7557329_count_position.png",4,220,900)</f>
        <v/>
      </c>
      <c r="T2273">
        <f>IMAGE("https://mitra.stanford.edu/kundaje/oak/projects/neuro-variants/variant_position/credible/roussos_2024/variant_figures/roussos_2024.infant.GLU/rs7557329_profile_position.png",4,220,900)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0.01350522014</v>
      </c>
      <c r="G2274" t="n">
        <v>0.549356582117119</v>
      </c>
      <c r="H2274" t="n">
        <v>0.0304672896585489</v>
      </c>
      <c r="I2274" t="n">
        <v>0.0553277663896555</v>
      </c>
      <c r="J2274" t="n">
        <v>0.0047245309640864</v>
      </c>
      <c r="K2274" t="n">
        <v>0.7729527941437235</v>
      </c>
      <c r="L2274" t="b">
        <v>0</v>
      </c>
      <c r="M2274" t="b">
        <v>0</v>
      </c>
      <c r="N2274" t="inlineStr">
        <is>
          <t>alt</t>
        </is>
      </c>
      <c r="O2274" t="n">
        <v>-95</v>
      </c>
      <c r="P2274" t="n">
        <v>0.00737</v>
      </c>
      <c r="Q2274" t="n">
        <v>100</v>
      </c>
      <c r="R2274" t="n">
        <v>0.03638</v>
      </c>
      <c r="S2274">
        <f>IMAGE("https://mitra.stanford.edu/kundaje/oak/projects/neuro-variants/variant_position/credible/roussos_2024/variant_figures/roussos_2024.infant.GLU/rs1902746_count_position.png",4,220,900)</f>
        <v/>
      </c>
      <c r="T2274">
        <f>IMAGE("https://mitra.stanford.edu/kundaje/oak/projects/neuro-variants/variant_position/credible/roussos_2024/variant_figures/roussos_2024.infant.GLU/rs1902746_profile_position.png",4,220,900)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0.00719310486</v>
      </c>
      <c r="G2275" t="n">
        <v>0.6516356314092291</v>
      </c>
      <c r="H2275" t="n">
        <v>0.0412334641737418</v>
      </c>
      <c r="I2275" t="n">
        <v>0.0181110673749853</v>
      </c>
      <c r="J2275" t="n">
        <v>0.0460636257413081</v>
      </c>
      <c r="K2275" t="n">
        <v>0.3566648869334246</v>
      </c>
      <c r="L2275" t="b">
        <v>1</v>
      </c>
      <c r="M2275" t="b">
        <v>0</v>
      </c>
      <c r="N2275" t="inlineStr">
        <is>
          <t>alt</t>
        </is>
      </c>
      <c r="O2275" t="n">
        <v>-60</v>
      </c>
      <c r="P2275" t="n">
        <v>0.02454</v>
      </c>
      <c r="Q2275" t="n">
        <v>65</v>
      </c>
      <c r="R2275" t="n">
        <v>0.1426</v>
      </c>
      <c r="S2275">
        <f>IMAGE("https://mitra.stanford.edu/kundaje/oak/projects/neuro-variants/variant_position/credible/roussos_2024/variant_figures/roussos_2024.infant.GLU/rs1037708_count_position.png",4,220,900)</f>
        <v/>
      </c>
      <c r="T2275">
        <f>IMAGE("https://mitra.stanford.edu/kundaje/oak/projects/neuro-variants/variant_position/credible/roussos_2024/variant_figures/roussos_2024.infant.GLU/rs1037708_profile_position.png",4,220,900)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0.0514154448</v>
      </c>
      <c r="G2276" t="n">
        <v>0.1551564116305329</v>
      </c>
      <c r="H2276" t="n">
        <v>0.0739138500226131</v>
      </c>
      <c r="I2276" t="n">
        <v>0.0010091557689116</v>
      </c>
      <c r="J2276" t="n">
        <v>0.008354461077184201</v>
      </c>
      <c r="K2276" t="n">
        <v>0.6858455742560606</v>
      </c>
      <c r="L2276" t="b">
        <v>0</v>
      </c>
      <c r="M2276" t="b">
        <v>0</v>
      </c>
      <c r="N2276" t="inlineStr">
        <is>
          <t>alt</t>
        </is>
      </c>
      <c r="O2276" t="n">
        <v>40</v>
      </c>
      <c r="P2276" t="n">
        <v>0.02625</v>
      </c>
      <c r="Q2276" t="n">
        <v>45</v>
      </c>
      <c r="R2276" t="n">
        <v>0.05798</v>
      </c>
      <c r="S2276">
        <f>IMAGE("https://mitra.stanford.edu/kundaje/oak/projects/neuro-variants/variant_position/credible/roussos_2024/variant_figures/roussos_2024.infant.GLU/rs12617537_count_position.png",4,220,900)</f>
        <v/>
      </c>
      <c r="T2276">
        <f>IMAGE("https://mitra.stanford.edu/kundaje/oak/projects/neuro-variants/variant_position/credible/roussos_2024/variant_figures/roussos_2024.infant.GLU/rs12617537_profile_position.png",4,220,900)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-0.0063518632</v>
      </c>
      <c r="G2277" t="n">
        <v>0.4229000001780439</v>
      </c>
      <c r="H2277" t="n">
        <v>0.0218516358491693</v>
      </c>
      <c r="I2277" t="n">
        <v>0.1473629470497542</v>
      </c>
      <c r="J2277" t="n">
        <v>0.0049185387684913</v>
      </c>
      <c r="K2277" t="n">
        <v>0.7619113323509225</v>
      </c>
      <c r="L2277" t="b">
        <v>0</v>
      </c>
      <c r="M2277" t="b">
        <v>0</v>
      </c>
      <c r="N2277" t="inlineStr">
        <is>
          <t>ref</t>
        </is>
      </c>
      <c r="O2277" t="n">
        <v>100</v>
      </c>
      <c r="P2277" t="n">
        <v>0.00505</v>
      </c>
      <c r="Q2277" t="n">
        <v>-90</v>
      </c>
      <c r="R2277" t="n">
        <v>0.06900000000000001</v>
      </c>
      <c r="S2277">
        <f>IMAGE("https://mitra.stanford.edu/kundaje/oak/projects/neuro-variants/variant_position/credible/roussos_2024/variant_figures/roussos_2024.infant.GLU/rs62279220_count_position.png",4,220,900)</f>
        <v/>
      </c>
      <c r="T2277">
        <f>IMAGE("https://mitra.stanford.edu/kundaje/oak/projects/neuro-variants/variant_position/credible/roussos_2024/variant_figures/roussos_2024.infant.GLU/rs62279220_profile_position.png",4,220,900)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-0.0198068613999999</v>
      </c>
      <c r="G2278" t="n">
        <v>0.4565265148863452</v>
      </c>
      <c r="H2278" t="n">
        <v>0.0161938117160834</v>
      </c>
      <c r="I2278" t="n">
        <v>0.3077131671340142</v>
      </c>
      <c r="J2278" t="n">
        <v>0.003852598161335</v>
      </c>
      <c r="K2278" t="n">
        <v>0.7897028332123689</v>
      </c>
      <c r="L2278" t="b">
        <v>0</v>
      </c>
      <c r="M2278" t="b">
        <v>0</v>
      </c>
      <c r="N2278" t="inlineStr">
        <is>
          <t>ref</t>
        </is>
      </c>
      <c r="O2278" t="n">
        <v>-35</v>
      </c>
      <c r="P2278" t="n">
        <v>0.002075</v>
      </c>
      <c r="Q2278" t="n">
        <v>95</v>
      </c>
      <c r="R2278" t="n">
        <v>0.03032</v>
      </c>
      <c r="S2278">
        <f>IMAGE("https://mitra.stanford.edu/kundaje/oak/projects/neuro-variants/variant_position/credible/roussos_2024/variant_figures/roussos_2024.infant.GLU/rs10191006_count_position.png",4,220,900)</f>
        <v/>
      </c>
      <c r="T2278">
        <f>IMAGE("https://mitra.stanford.edu/kundaje/oak/projects/neuro-variants/variant_position/credible/roussos_2024/variant_figures/roussos_2024.infant.GLU/rs10191006_profile_position.png",4,220,900)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0.0109168807399999</v>
      </c>
      <c r="G2279" t="n">
        <v>0.6008423206302881</v>
      </c>
      <c r="H2279" t="n">
        <v>0.0221092074361137</v>
      </c>
      <c r="I2279" t="n">
        <v>0.1424158582015018</v>
      </c>
      <c r="J2279" t="n">
        <v>0.0014859234110098</v>
      </c>
      <c r="K2279" t="n">
        <v>0.8683410614296845</v>
      </c>
      <c r="L2279" t="b">
        <v>0</v>
      </c>
      <c r="M2279" t="b">
        <v>0</v>
      </c>
      <c r="N2279" t="inlineStr">
        <is>
          <t>alt</t>
        </is>
      </c>
      <c r="O2279" t="n">
        <v>50</v>
      </c>
      <c r="P2279" t="n">
        <v>0.02768</v>
      </c>
      <c r="Q2279" t="n">
        <v>40</v>
      </c>
      <c r="R2279" t="n">
        <v>0.03802</v>
      </c>
      <c r="S2279">
        <f>IMAGE("https://mitra.stanford.edu/kundaje/oak/projects/neuro-variants/variant_position/credible/roussos_2024/variant_figures/roussos_2024.infant.GLU/rs2697260_count_position.png",4,220,900)</f>
        <v/>
      </c>
      <c r="T2279">
        <f>IMAGE("https://mitra.stanford.edu/kundaje/oak/projects/neuro-variants/variant_position/credible/roussos_2024/variant_figures/roussos_2024.infant.GLU/rs2697260_profile_position.png",4,220,900)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-0.19137947</v>
      </c>
      <c r="G2280" t="n">
        <v>0.0111282603057903</v>
      </c>
      <c r="H2280" t="n">
        <v>0.0334328910513445</v>
      </c>
      <c r="I2280" t="n">
        <v>0.039765611829103</v>
      </c>
      <c r="J2280" t="n">
        <v>0.0746445027447694</v>
      </c>
      <c r="K2280" t="n">
        <v>0.2787186894573359</v>
      </c>
      <c r="L2280" t="b">
        <v>1</v>
      </c>
      <c r="M2280" t="b">
        <v>0</v>
      </c>
      <c r="N2280" t="inlineStr">
        <is>
          <t>ref</t>
        </is>
      </c>
      <c r="O2280" t="n">
        <v>95</v>
      </c>
      <c r="P2280" t="n">
        <v>0.0116</v>
      </c>
      <c r="Q2280" t="n">
        <v>-20</v>
      </c>
      <c r="R2280" t="n">
        <v>0.01709</v>
      </c>
      <c r="S2280">
        <f>IMAGE("https://mitra.stanford.edu/kundaje/oak/projects/neuro-variants/variant_position/credible/roussos_2024/variant_figures/roussos_2024.infant.GLU/rs7595352_count_position.png",4,220,900)</f>
        <v/>
      </c>
      <c r="T2280">
        <f>IMAGE("https://mitra.stanford.edu/kundaje/oak/projects/neuro-variants/variant_position/credible/roussos_2024/variant_figures/roussos_2024.infant.GLU/rs7595352_profile_position.png",4,220,900)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0.0219726216</v>
      </c>
      <c r="G2281" t="n">
        <v>0.3736431741328309</v>
      </c>
      <c r="H2281" t="n">
        <v>0.0344533145096387</v>
      </c>
      <c r="I2281" t="n">
        <v>0.036165194141319</v>
      </c>
      <c r="J2281" t="n">
        <v>0.2015311184108997</v>
      </c>
      <c r="K2281" t="n">
        <v>0.1080059879293095</v>
      </c>
      <c r="L2281" t="b">
        <v>0</v>
      </c>
      <c r="M2281" t="b">
        <v>0</v>
      </c>
      <c r="N2281" t="inlineStr">
        <is>
          <t>alt</t>
        </is>
      </c>
      <c r="O2281" t="n">
        <v>-90</v>
      </c>
      <c r="P2281" t="n">
        <v>0.00911</v>
      </c>
      <c r="Q2281" t="n">
        <v>-80</v>
      </c>
      <c r="R2281" t="n">
        <v>0.1553</v>
      </c>
      <c r="S2281">
        <f>IMAGE("https://mitra.stanford.edu/kundaje/oak/projects/neuro-variants/variant_position/credible/roussos_2024/variant_figures/roussos_2024.infant.GLU/rs788007_count_position.png",4,220,900)</f>
        <v/>
      </c>
      <c r="T2281">
        <f>IMAGE("https://mitra.stanford.edu/kundaje/oak/projects/neuro-variants/variant_position/credible/roussos_2024/variant_figures/roussos_2024.infant.GLU/rs788007_profile_position.png",4,220,900)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-0.0353677415999999</v>
      </c>
      <c r="G2282" t="n">
        <v>0.2749457879888983</v>
      </c>
      <c r="H2282" t="n">
        <v>0.0192819254887962</v>
      </c>
      <c r="I2282" t="n">
        <v>0.2012781134893864</v>
      </c>
      <c r="J2282" t="n">
        <v>0.0234242377477457</v>
      </c>
      <c r="K2282" t="n">
        <v>0.5131741012595021</v>
      </c>
      <c r="L2282" t="b">
        <v>0</v>
      </c>
      <c r="M2282" t="b">
        <v>0</v>
      </c>
      <c r="N2282" t="inlineStr">
        <is>
          <t>ref</t>
        </is>
      </c>
      <c r="O2282" t="n">
        <v>-65</v>
      </c>
      <c r="P2282" t="n">
        <v>0.008279999999999999</v>
      </c>
      <c r="Q2282" t="n">
        <v>95</v>
      </c>
      <c r="R2282" t="n">
        <v>0.05313</v>
      </c>
      <c r="S2282">
        <f>IMAGE("https://mitra.stanford.edu/kundaje/oak/projects/neuro-variants/variant_position/credible/roussos_2024/variant_figures/roussos_2024.infant.GLU/rs55775495_count_position.png",4,220,900)</f>
        <v/>
      </c>
      <c r="T2282">
        <f>IMAGE("https://mitra.stanford.edu/kundaje/oak/projects/neuro-variants/variant_position/credible/roussos_2024/variant_figures/roussos_2024.infant.GLU/rs55775495_profile_position.png",4,220,900)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-0.0295462574</v>
      </c>
      <c r="G2283" t="n">
        <v>0.3307610367983435</v>
      </c>
      <c r="H2283" t="n">
        <v>0.0249039825103829</v>
      </c>
      <c r="I2283" t="n">
        <v>0.1016348156143742</v>
      </c>
      <c r="J2283" t="n">
        <v>0.0176800634934632</v>
      </c>
      <c r="K2283" t="n">
        <v>0.5601394100251125</v>
      </c>
      <c r="L2283" t="b">
        <v>0</v>
      </c>
      <c r="M2283" t="b">
        <v>0</v>
      </c>
      <c r="N2283" t="inlineStr">
        <is>
          <t>ref</t>
        </is>
      </c>
      <c r="O2283" t="n">
        <v>50</v>
      </c>
      <c r="P2283" t="n">
        <v>0.03473</v>
      </c>
      <c r="Q2283" t="n">
        <v>5</v>
      </c>
      <c r="R2283" t="n">
        <v>0.001694</v>
      </c>
      <c r="S2283">
        <f>IMAGE("https://mitra.stanford.edu/kundaje/oak/projects/neuro-variants/variant_position/credible/roussos_2024/variant_figures/roussos_2024.infant.GLU/rs788023_count_position.png",4,220,900)</f>
        <v/>
      </c>
      <c r="T2283">
        <f>IMAGE("https://mitra.stanford.edu/kundaje/oak/projects/neuro-variants/variant_position/credible/roussos_2024/variant_figures/roussos_2024.infant.GLU/rs788023_profile_position.png",4,220,900)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0.01536191648</v>
      </c>
      <c r="G2284" t="n">
        <v>0.4651846175808802</v>
      </c>
      <c r="H2284" t="n">
        <v>0.017288995812272</v>
      </c>
      <c r="I2284" t="n">
        <v>0.2630508205671359</v>
      </c>
      <c r="J2284" t="n">
        <v>0.986664168081307</v>
      </c>
      <c r="K2284" t="n">
        <v>9.008283187229918e-05</v>
      </c>
      <c r="L2284" t="b">
        <v>0</v>
      </c>
      <c r="M2284" t="b">
        <v>0</v>
      </c>
      <c r="N2284" t="inlineStr">
        <is>
          <t>alt</t>
        </is>
      </c>
      <c r="O2284" t="n">
        <v>-70</v>
      </c>
      <c r="P2284" t="n">
        <v>0.01892</v>
      </c>
      <c r="Q2284" t="n">
        <v>-95</v>
      </c>
      <c r="R2284" t="n">
        <v>0.1753</v>
      </c>
      <c r="S2284">
        <f>IMAGE("https://mitra.stanford.edu/kundaje/oak/projects/neuro-variants/variant_position/credible/roussos_2024/variant_figures/roussos_2024.infant.GLU/rs1116734_count_position.png",4,220,900)</f>
        <v/>
      </c>
      <c r="T2284">
        <f>IMAGE("https://mitra.stanford.edu/kundaje/oak/projects/neuro-variants/variant_position/credible/roussos_2024/variant_figures/roussos_2024.infant.GLU/rs1116734_profile_position.png",4,220,900)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0.0378731407999999</v>
      </c>
      <c r="G2285" t="n">
        <v>0.2646151052491966</v>
      </c>
      <c r="H2285" t="n">
        <v>0.0097435054003247</v>
      </c>
      <c r="I2285" t="n">
        <v>0.7585059100614115</v>
      </c>
      <c r="J2285" t="n">
        <v>0.0156099120350977</v>
      </c>
      <c r="K2285" t="n">
        <v>0.5841787580432012</v>
      </c>
      <c r="L2285" t="b">
        <v>0</v>
      </c>
      <c r="M2285" t="b">
        <v>0</v>
      </c>
      <c r="N2285" t="inlineStr">
        <is>
          <t>alt</t>
        </is>
      </c>
      <c r="O2285" t="n">
        <v>95</v>
      </c>
      <c r="P2285" t="n">
        <v>0.015305</v>
      </c>
      <c r="Q2285" t="n">
        <v>-70</v>
      </c>
      <c r="R2285" t="n">
        <v>0.0878</v>
      </c>
      <c r="S2285">
        <f>IMAGE("https://mitra.stanford.edu/kundaje/oak/projects/neuro-variants/variant_position/credible/roussos_2024/variant_figures/roussos_2024.infant.GLU/rs11680291_count_position.png",4,220,900)</f>
        <v/>
      </c>
      <c r="T2285">
        <f>IMAGE("https://mitra.stanford.edu/kundaje/oak/projects/neuro-variants/variant_position/credible/roussos_2024/variant_figures/roussos_2024.infant.GLU/rs11680291_profile_position.png",4,220,900)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-0.0511867281999999</v>
      </c>
      <c r="G2286" t="n">
        <v>0.1647938437723763</v>
      </c>
      <c r="H2286" t="n">
        <v>0.0094676657993736</v>
      </c>
      <c r="I2286" t="n">
        <v>0.7780112006530188</v>
      </c>
      <c r="J2286" t="n">
        <v>0.0196587226349786</v>
      </c>
      <c r="K2286" t="n">
        <v>0.5486607118156144</v>
      </c>
      <c r="L2286" t="b">
        <v>0</v>
      </c>
      <c r="M2286" t="b">
        <v>0</v>
      </c>
      <c r="N2286" t="inlineStr">
        <is>
          <t>ref</t>
        </is>
      </c>
      <c r="O2286" t="n">
        <v>-100</v>
      </c>
      <c r="P2286" t="n">
        <v>0.02563</v>
      </c>
      <c r="Q2286" t="n">
        <v>-40</v>
      </c>
      <c r="R2286" t="n">
        <v>0.1465</v>
      </c>
      <c r="S2286">
        <f>IMAGE("https://mitra.stanford.edu/kundaje/oak/projects/neuro-variants/variant_position/credible/roussos_2024/variant_figures/roussos_2024.infant.GLU/rs1455653_count_position.png",4,220,900)</f>
        <v/>
      </c>
      <c r="T2286">
        <f>IMAGE("https://mitra.stanford.edu/kundaje/oak/projects/neuro-variants/variant_position/credible/roussos_2024/variant_figures/roussos_2024.infant.GLU/rs1455653_profile_position.png",4,220,900)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-0.0597971074</v>
      </c>
      <c r="G2287" t="n">
        <v>0.1421599619906581</v>
      </c>
      <c r="H2287" t="n">
        <v>0.0146184753817028</v>
      </c>
      <c r="I2287" t="n">
        <v>0.3831622981761167</v>
      </c>
      <c r="J2287" t="n">
        <v>0.0383474062479331</v>
      </c>
      <c r="K2287" t="n">
        <v>0.3964827554007338</v>
      </c>
      <c r="L2287" t="b">
        <v>0</v>
      </c>
      <c r="M2287" t="b">
        <v>0</v>
      </c>
      <c r="N2287" t="inlineStr">
        <is>
          <t>ref</t>
        </is>
      </c>
      <c r="O2287" t="n">
        <v>10</v>
      </c>
      <c r="P2287" t="n">
        <v>0.01343</v>
      </c>
      <c r="Q2287" t="n">
        <v>40</v>
      </c>
      <c r="R2287" t="n">
        <v>0.05457</v>
      </c>
      <c r="S2287">
        <f>IMAGE("https://mitra.stanford.edu/kundaje/oak/projects/neuro-variants/variant_position/credible/roussos_2024/variant_figures/roussos_2024.infant.GLU/rs34139878_count_position.png",4,220,900)</f>
        <v/>
      </c>
      <c r="T2287">
        <f>IMAGE("https://mitra.stanford.edu/kundaje/oak/projects/neuro-variants/variant_position/credible/roussos_2024/variant_figures/roussos_2024.infant.GLU/rs34139878_profile_position.png",4,220,900)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0.0005839145799999</v>
      </c>
      <c r="G2288" t="n">
        <v>0.6682223391672125</v>
      </c>
      <c r="H2288" t="n">
        <v>0.034505934448445</v>
      </c>
      <c r="I2288" t="n">
        <v>0.0355779675763862</v>
      </c>
      <c r="J2288" t="n">
        <v>0.1734969906743975</v>
      </c>
      <c r="K2288" t="n">
        <v>0.1292105342072368</v>
      </c>
      <c r="L2288" t="b">
        <v>0</v>
      </c>
      <c r="M2288" t="b">
        <v>0</v>
      </c>
      <c r="N2288" t="inlineStr">
        <is>
          <t>alt</t>
        </is>
      </c>
      <c r="O2288" t="n">
        <v>-100</v>
      </c>
      <c r="P2288" t="n">
        <v>0.01484</v>
      </c>
      <c r="Q2288" t="n">
        <v>100</v>
      </c>
      <c r="R2288" t="n">
        <v>0.1708</v>
      </c>
      <c r="S2288">
        <f>IMAGE("https://mitra.stanford.edu/kundaje/oak/projects/neuro-variants/variant_position/credible/roussos_2024/variant_figures/roussos_2024.infant.GLU/rs1376584_count_position.png",4,220,900)</f>
        <v/>
      </c>
      <c r="T2288">
        <f>IMAGE("https://mitra.stanford.edu/kundaje/oak/projects/neuro-variants/variant_position/credible/roussos_2024/variant_figures/roussos_2024.infant.GLU/rs1376584_profile_position.png",4,220,900)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0.01453286662</v>
      </c>
      <c r="G2289" t="n">
        <v>0.5359080790967957</v>
      </c>
      <c r="H2289" t="n">
        <v>0.0253820525528851</v>
      </c>
      <c r="I2289" t="n">
        <v>0.0979075056987108</v>
      </c>
      <c r="J2289" t="n">
        <v>0.5001179479265416</v>
      </c>
      <c r="K2289" t="n">
        <v>0.0305848493953445</v>
      </c>
      <c r="L2289" t="b">
        <v>0</v>
      </c>
      <c r="M2289" t="b">
        <v>0</v>
      </c>
      <c r="N2289" t="inlineStr">
        <is>
          <t>alt</t>
        </is>
      </c>
      <c r="O2289" t="n">
        <v>-100</v>
      </c>
      <c r="P2289" t="n">
        <v>0.0463</v>
      </c>
      <c r="Q2289" t="n">
        <v>90</v>
      </c>
      <c r="R2289" t="n">
        <v>0.2188</v>
      </c>
      <c r="S2289">
        <f>IMAGE("https://mitra.stanford.edu/kundaje/oak/projects/neuro-variants/variant_position/credible/roussos_2024/variant_figures/roussos_2024.infant.GLU/rs6733580_count_position.png",4,220,900)</f>
        <v/>
      </c>
      <c r="T2289">
        <f>IMAGE("https://mitra.stanford.edu/kundaje/oak/projects/neuro-variants/variant_position/credible/roussos_2024/variant_figures/roussos_2024.infant.GLU/rs6733580_profile_position.png",4,220,900)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-0.1542137636</v>
      </c>
      <c r="G2290" t="n">
        <v>0.0209450485856237</v>
      </c>
      <c r="H2290" t="n">
        <v>0.0174749682162776</v>
      </c>
      <c r="I2290" t="n">
        <v>0.2577076328227109</v>
      </c>
      <c r="J2290" t="n">
        <v>0.0165744394717696</v>
      </c>
      <c r="K2290" t="n">
        <v>0.5912417670784335</v>
      </c>
      <c r="L2290" t="b">
        <v>0</v>
      </c>
      <c r="M2290" t="b">
        <v>0</v>
      </c>
      <c r="N2290" t="inlineStr">
        <is>
          <t>ref</t>
        </is>
      </c>
      <c r="O2290" t="n">
        <v>-100</v>
      </c>
      <c r="P2290" t="n">
        <v>0.01218</v>
      </c>
      <c r="Q2290" t="n">
        <v>45</v>
      </c>
      <c r="R2290" t="n">
        <v>0.01843</v>
      </c>
      <c r="S2290">
        <f>IMAGE("https://mitra.stanford.edu/kundaje/oak/projects/neuro-variants/variant_position/credible/roussos_2024/variant_figures/roussos_2024.infant.GLU/rs2345458_count_position.png",4,220,900)</f>
        <v/>
      </c>
      <c r="T2290">
        <f>IMAGE("https://mitra.stanford.edu/kundaje/oak/projects/neuro-variants/variant_position/credible/roussos_2024/variant_figures/roussos_2024.infant.GLU/rs2345458_profile_position.png",4,220,900)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-0.0257635948</v>
      </c>
      <c r="G2291" t="n">
        <v>0.2882459029022703</v>
      </c>
      <c r="H2291" t="n">
        <v>0.0111646790406734</v>
      </c>
      <c r="I2291" t="n">
        <v>0.6292802063898668</v>
      </c>
      <c r="J2291" t="n">
        <v>0.058212262175092</v>
      </c>
      <c r="K2291" t="n">
        <v>0.3180652865709706</v>
      </c>
      <c r="L2291" t="b">
        <v>0</v>
      </c>
      <c r="M2291" t="b">
        <v>0</v>
      </c>
      <c r="N2291" t="inlineStr">
        <is>
          <t>ref</t>
        </is>
      </c>
      <c r="O2291" t="n">
        <v>-20</v>
      </c>
      <c r="P2291" t="n">
        <v>0.001299</v>
      </c>
      <c r="Q2291" t="n">
        <v>100</v>
      </c>
      <c r="R2291" t="n">
        <v>0.1006</v>
      </c>
      <c r="S2291">
        <f>IMAGE("https://mitra.stanford.edu/kundaje/oak/projects/neuro-variants/variant_position/credible/roussos_2024/variant_figures/roussos_2024.infant.GLU/rs921465_count_position.png",4,220,900)</f>
        <v/>
      </c>
      <c r="T2291">
        <f>IMAGE("https://mitra.stanford.edu/kundaje/oak/projects/neuro-variants/variant_position/credible/roussos_2024/variant_figures/roussos_2024.infant.GLU/rs921465_profile_position.png",4,220,900)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-0.0184652178</v>
      </c>
      <c r="G2292" t="n">
        <v>0.4853158231988171</v>
      </c>
      <c r="H2292" t="n">
        <v>0.0160192909471173</v>
      </c>
      <c r="I2292" t="n">
        <v>0.3140784549268422</v>
      </c>
      <c r="J2292" t="n">
        <v>0.0810511695584117</v>
      </c>
      <c r="K2292" t="n">
        <v>0.2532951169453133</v>
      </c>
      <c r="L2292" t="b">
        <v>0</v>
      </c>
      <c r="M2292" t="b">
        <v>0</v>
      </c>
      <c r="N2292" t="inlineStr">
        <is>
          <t>ref</t>
        </is>
      </c>
      <c r="O2292" t="n">
        <v>100</v>
      </c>
      <c r="P2292" t="n">
        <v>0.05594</v>
      </c>
      <c r="Q2292" t="n">
        <v>-30</v>
      </c>
      <c r="R2292" t="n">
        <v>0.1414</v>
      </c>
      <c r="S2292">
        <f>IMAGE("https://mitra.stanford.edu/kundaje/oak/projects/neuro-variants/variant_position/credible/roussos_2024/variant_figures/roussos_2024.infant.GLU/rs1868915_count_position.png",4,220,900)</f>
        <v/>
      </c>
      <c r="T2292">
        <f>IMAGE("https://mitra.stanford.edu/kundaje/oak/projects/neuro-variants/variant_position/credible/roussos_2024/variant_figures/roussos_2024.infant.GLU/rs1868915_profile_position.png",4,220,900)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-0.075795642</v>
      </c>
      <c r="G2293" t="n">
        <v>0.086085176578699</v>
      </c>
      <c r="H2293" t="n">
        <v>0.0157545087780281</v>
      </c>
      <c r="I2293" t="n">
        <v>0.3243985270911831</v>
      </c>
      <c r="J2293" t="n">
        <v>0.1509446857294031</v>
      </c>
      <c r="K2293" t="n">
        <v>0.1423340750911842</v>
      </c>
      <c r="L2293" t="b">
        <v>0</v>
      </c>
      <c r="M2293" t="b">
        <v>0</v>
      </c>
      <c r="N2293" t="inlineStr">
        <is>
          <t>ref</t>
        </is>
      </c>
      <c r="O2293" t="n">
        <v>100</v>
      </c>
      <c r="P2293" t="n">
        <v>0.004677</v>
      </c>
      <c r="Q2293" t="n">
        <v>35</v>
      </c>
      <c r="R2293" t="n">
        <v>0.0607</v>
      </c>
      <c r="S2293">
        <f>IMAGE("https://mitra.stanford.edu/kundaje/oak/projects/neuro-variants/variant_position/credible/roussos_2024/variant_figures/roussos_2024.infant.GLU/rs1376593_count_position.png",4,220,900)</f>
        <v/>
      </c>
      <c r="T2293">
        <f>IMAGE("https://mitra.stanford.edu/kundaje/oak/projects/neuro-variants/variant_position/credible/roussos_2024/variant_figures/roussos_2024.infant.GLU/rs1376593_profile_position.png",4,220,900)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-0.0188366802</v>
      </c>
      <c r="G2294" t="n">
        <v>0.2651947186347286</v>
      </c>
      <c r="H2294" t="n">
        <v>0.0154124647700007</v>
      </c>
      <c r="I2294" t="n">
        <v>0.339261255046936</v>
      </c>
      <c r="J2294" t="n">
        <v>0.3277365021274719</v>
      </c>
      <c r="K2294" t="n">
        <v>0.0613850930223225</v>
      </c>
      <c r="L2294" t="b">
        <v>0</v>
      </c>
      <c r="M2294" t="b">
        <v>0</v>
      </c>
      <c r="N2294" t="inlineStr">
        <is>
          <t>ref</t>
        </is>
      </c>
      <c r="O2294" t="n">
        <v>15</v>
      </c>
      <c r="P2294" t="n">
        <v>0.0017395</v>
      </c>
      <c r="Q2294" t="n">
        <v>95</v>
      </c>
      <c r="R2294" t="n">
        <v>0.09326</v>
      </c>
      <c r="S2294">
        <f>IMAGE("https://mitra.stanford.edu/kundaje/oak/projects/neuro-variants/variant_position/credible/roussos_2024/variant_figures/roussos_2024.infant.GLU/rs6731445_count_position.png",4,220,900)</f>
        <v/>
      </c>
      <c r="T2294">
        <f>IMAGE("https://mitra.stanford.edu/kundaje/oak/projects/neuro-variants/variant_position/credible/roussos_2024/variant_figures/roussos_2024.infant.GLU/rs6731445_profile_position.png",4,220,900)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0.0262431486</v>
      </c>
      <c r="G2295" t="n">
        <v>0.3524671298335253</v>
      </c>
      <c r="H2295" t="n">
        <v>0.0147083038178488</v>
      </c>
      <c r="I2295" t="n">
        <v>0.3747766700615404</v>
      </c>
      <c r="J2295" t="n">
        <v>0.0631627681386273</v>
      </c>
      <c r="K2295" t="n">
        <v>0.2978136765439916</v>
      </c>
      <c r="L2295" t="b">
        <v>0</v>
      </c>
      <c r="M2295" t="b">
        <v>0</v>
      </c>
      <c r="N2295" t="inlineStr">
        <is>
          <t>alt</t>
        </is>
      </c>
      <c r="O2295" t="n">
        <v>85</v>
      </c>
      <c r="P2295" t="n">
        <v>0.03842</v>
      </c>
      <c r="Q2295" t="n">
        <v>20</v>
      </c>
      <c r="R2295" t="n">
        <v>0.0769</v>
      </c>
      <c r="S2295">
        <f>IMAGE("https://mitra.stanford.edu/kundaje/oak/projects/neuro-variants/variant_position/credible/roussos_2024/variant_figures/roussos_2024.infant.GLU/rs6743084_count_position.png",4,220,900)</f>
        <v/>
      </c>
      <c r="T2295">
        <f>IMAGE("https://mitra.stanford.edu/kundaje/oak/projects/neuro-variants/variant_position/credible/roussos_2024/variant_figures/roussos_2024.infant.GLU/rs6743084_profile_position.png",4,220,900)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-0.09595205599999999</v>
      </c>
      <c r="G2296" t="n">
        <v>0.067661308174923</v>
      </c>
      <c r="H2296" t="n">
        <v>0.0180290446278292</v>
      </c>
      <c r="I2296" t="n">
        <v>0.2414090424918998</v>
      </c>
      <c r="J2296" t="n">
        <v>0.5993485306113451</v>
      </c>
      <c r="K2296" t="n">
        <v>0.0211674223369403</v>
      </c>
      <c r="L2296" t="b">
        <v>0</v>
      </c>
      <c r="M2296" t="b">
        <v>0</v>
      </c>
      <c r="N2296" t="inlineStr">
        <is>
          <t>ref</t>
        </is>
      </c>
      <c r="O2296" t="n">
        <v>25</v>
      </c>
      <c r="P2296" t="n">
        <v>0.02625</v>
      </c>
      <c r="Q2296" t="n">
        <v>25</v>
      </c>
      <c r="R2296" t="n">
        <v>0.08690000000000001</v>
      </c>
      <c r="S2296">
        <f>IMAGE("https://mitra.stanford.edu/kundaje/oak/projects/neuro-variants/variant_position/credible/roussos_2024/variant_figures/roussos_2024.infant.GLU/rs60642146_count_position.png",4,220,900)</f>
        <v/>
      </c>
      <c r="T2296">
        <f>IMAGE("https://mitra.stanford.edu/kundaje/oak/projects/neuro-variants/variant_position/credible/roussos_2024/variant_figures/roussos_2024.infant.GLU/rs60642146_profile_position.png",4,220,900)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-0.06532719764479999</v>
      </c>
      <c r="G2297" t="n">
        <v>0.1202635099469219</v>
      </c>
      <c r="H2297" t="n">
        <v>0.0133991538775244</v>
      </c>
      <c r="I2297" t="n">
        <v>0.4539365118947515</v>
      </c>
      <c r="J2297" t="n">
        <v>0.5972034215921868</v>
      </c>
      <c r="K2297" t="n">
        <v>0.021331913081069</v>
      </c>
      <c r="L2297" t="b">
        <v>0</v>
      </c>
      <c r="M2297" t="b">
        <v>0</v>
      </c>
      <c r="N2297" t="inlineStr">
        <is>
          <t>ref</t>
        </is>
      </c>
      <c r="O2297" t="n">
        <v>20</v>
      </c>
      <c r="P2297" t="n">
        <v>0.02393</v>
      </c>
      <c r="Q2297" t="n">
        <v>30</v>
      </c>
      <c r="R2297" t="n">
        <v>0.09375</v>
      </c>
      <c r="S2297">
        <f>IMAGE("https://mitra.stanford.edu/kundaje/oak/projects/neuro-variants/variant_position/credible/roussos_2024/variant_figures/roussos_2024.infant.GLU/rs896350_count_position.png",4,220,900)</f>
        <v/>
      </c>
      <c r="T2297">
        <f>IMAGE("https://mitra.stanford.edu/kundaje/oak/projects/neuro-variants/variant_position/credible/roussos_2024/variant_figures/roussos_2024.infant.GLU/rs896350_profile_position.png",4,220,900)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-0.08130363539999989</v>
      </c>
      <c r="G2298" t="n">
        <v>0.0786977262909619</v>
      </c>
      <c r="H2298" t="n">
        <v>0.016446309009515</v>
      </c>
      <c r="I2298" t="n">
        <v>0.302508624386631</v>
      </c>
      <c r="J2298" t="n">
        <v>0.0085583897352233</v>
      </c>
      <c r="K2298" t="n">
        <v>0.6858539908665838</v>
      </c>
      <c r="L2298" t="b">
        <v>0</v>
      </c>
      <c r="M2298" t="b">
        <v>0</v>
      </c>
      <c r="N2298" t="inlineStr">
        <is>
          <t>ref</t>
        </is>
      </c>
      <c r="O2298" t="n">
        <v>45</v>
      </c>
      <c r="P2298" t="n">
        <v>0.02399</v>
      </c>
      <c r="Q2298" t="n">
        <v>-85</v>
      </c>
      <c r="R2298" t="n">
        <v>0.01563</v>
      </c>
      <c r="S2298">
        <f>IMAGE("https://mitra.stanford.edu/kundaje/oak/projects/neuro-variants/variant_position/credible/roussos_2024/variant_figures/roussos_2024.infant.GLU/rs2122844_count_position.png",4,220,900)</f>
        <v/>
      </c>
      <c r="T2298">
        <f>IMAGE("https://mitra.stanford.edu/kundaje/oak/projects/neuro-variants/variant_position/credible/roussos_2024/variant_figures/roussos_2024.infant.GLU/rs2122844_profile_position.png",4,220,900)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0.0029494534</v>
      </c>
      <c r="G2299" t="n">
        <v>0.6223273637855654</v>
      </c>
      <c r="H2299" t="n">
        <v>0.0066668623360438</v>
      </c>
      <c r="I2299" t="n">
        <v>0.955800491023866</v>
      </c>
      <c r="J2299" t="n">
        <v>0.0600740757071363</v>
      </c>
      <c r="K2299" t="n">
        <v>0.3057752171250756</v>
      </c>
      <c r="L2299" t="b">
        <v>0</v>
      </c>
      <c r="M2299" t="b">
        <v>0</v>
      </c>
      <c r="N2299" t="inlineStr">
        <is>
          <t>alt</t>
        </is>
      </c>
      <c r="O2299" t="n">
        <v>-30</v>
      </c>
      <c r="P2299" t="n">
        <v>0.01005</v>
      </c>
      <c r="Q2299" t="n">
        <v>-95</v>
      </c>
      <c r="R2299" t="n">
        <v>0.09485</v>
      </c>
      <c r="S2299">
        <f>IMAGE("https://mitra.stanford.edu/kundaje/oak/projects/neuro-variants/variant_position/credible/roussos_2024/variant_figures/roussos_2024.infant.GLU/rs281760_count_position.png",4,220,900)</f>
        <v/>
      </c>
      <c r="T2299">
        <f>IMAGE("https://mitra.stanford.edu/kundaje/oak/projects/neuro-variants/variant_position/credible/roussos_2024/variant_figures/roussos_2024.infant.GLU/rs281760_profile_position.png",4,220,900)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-0.06684658839999991</v>
      </c>
      <c r="G2300" t="n">
        <v>0.1070124578058434</v>
      </c>
      <c r="H2300" t="n">
        <v>0.0297756177215793</v>
      </c>
      <c r="I2300" t="n">
        <v>0.0589776199168209</v>
      </c>
      <c r="J2300" t="n">
        <v>0.0152538636213319</v>
      </c>
      <c r="K2300" t="n">
        <v>0.583797268910253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0.02835</v>
      </c>
      <c r="Q2300" t="n">
        <v>25</v>
      </c>
      <c r="R2300" t="n">
        <v>0.03357</v>
      </c>
      <c r="S2300">
        <f>IMAGE("https://mitra.stanford.edu/kundaje/oak/projects/neuro-variants/variant_position/credible/roussos_2024/variant_figures/roussos_2024.infant.GLU/rs176008_count_position.png",4,220,900)</f>
        <v/>
      </c>
      <c r="T2300">
        <f>IMAGE("https://mitra.stanford.edu/kundaje/oak/projects/neuro-variants/variant_position/credible/roussos_2024/variant_figures/roussos_2024.infant.GLU/rs176008_profile_position.png",4,220,900)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0.003361536</v>
      </c>
      <c r="G2301" t="n">
        <v>0.3877286943374056</v>
      </c>
      <c r="H2301" t="n">
        <v>0.0184864544423588</v>
      </c>
      <c r="I2301" t="n">
        <v>0.2282408915977415</v>
      </c>
      <c r="J2301" t="n">
        <v>0.6996847373178421</v>
      </c>
      <c r="K2301" t="n">
        <v>0.0139452220530348</v>
      </c>
      <c r="L2301" t="b">
        <v>0</v>
      </c>
      <c r="M2301" t="b">
        <v>0</v>
      </c>
      <c r="N2301" t="inlineStr">
        <is>
          <t>alt</t>
        </is>
      </c>
      <c r="O2301" t="n">
        <v>-100</v>
      </c>
      <c r="P2301" t="n">
        <v>0.0071</v>
      </c>
      <c r="Q2301" t="n">
        <v>75</v>
      </c>
      <c r="R2301" t="n">
        <v>0.1492</v>
      </c>
      <c r="S2301">
        <f>IMAGE("https://mitra.stanford.edu/kundaje/oak/projects/neuro-variants/variant_position/credible/roussos_2024/variant_figures/roussos_2024.infant.GLU/rs281766_count_position.png",4,220,900)</f>
        <v/>
      </c>
      <c r="T2301">
        <f>IMAGE("https://mitra.stanford.edu/kundaje/oak/projects/neuro-variants/variant_position/credible/roussos_2024/variant_figures/roussos_2024.infant.GLU/rs281766_profile_position.png",4,220,900)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-0.0920729302</v>
      </c>
      <c r="G2302" t="n">
        <v>0.06408171041722351</v>
      </c>
      <c r="H2302" t="n">
        <v>0.015297636261447</v>
      </c>
      <c r="I2302" t="n">
        <v>0.3638700143959276</v>
      </c>
      <c r="J2302" t="n">
        <v>0.0053936374258691</v>
      </c>
      <c r="K2302" t="n">
        <v>0.7624957812011053</v>
      </c>
      <c r="L2302" t="b">
        <v>0</v>
      </c>
      <c r="M2302" t="b">
        <v>0</v>
      </c>
      <c r="N2302" t="inlineStr">
        <is>
          <t>ref</t>
        </is>
      </c>
      <c r="O2302" t="n">
        <v>0</v>
      </c>
      <c r="P2302" t="n">
        <v>0</v>
      </c>
      <c r="Q2302" t="n">
        <v>45</v>
      </c>
      <c r="R2302" t="n">
        <v>0.02174</v>
      </c>
      <c r="S2302">
        <f>IMAGE("https://mitra.stanford.edu/kundaje/oak/projects/neuro-variants/variant_position/credible/roussos_2024/variant_figures/roussos_2024.infant.GLU/rs10178177_count_position.png",4,220,900)</f>
        <v/>
      </c>
      <c r="T2302">
        <f>IMAGE("https://mitra.stanford.edu/kundaje/oak/projects/neuro-variants/variant_position/credible/roussos_2024/variant_figures/roussos_2024.infant.GLU/rs10178177_profile_position.png",4,220,900)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-0.07306646139999989</v>
      </c>
      <c r="G2303" t="n">
        <v>0.0916990878895681</v>
      </c>
      <c r="H2303" t="n">
        <v>0.0106891355490522</v>
      </c>
      <c r="I2303" t="n">
        <v>0.6665911304938854</v>
      </c>
      <c r="J2303" t="n">
        <v>0.0218402081174628</v>
      </c>
      <c r="K2303" t="n">
        <v>0.5332574109443752</v>
      </c>
      <c r="L2303" t="b">
        <v>0</v>
      </c>
      <c r="M2303" t="b">
        <v>0</v>
      </c>
      <c r="N2303" t="inlineStr">
        <is>
          <t>ref</t>
        </is>
      </c>
      <c r="O2303" t="n">
        <v>60</v>
      </c>
      <c r="P2303" t="n">
        <v>0.01924</v>
      </c>
      <c r="Q2303" t="n">
        <v>-65</v>
      </c>
      <c r="R2303" t="n">
        <v>0.04248</v>
      </c>
      <c r="S2303">
        <f>IMAGE("https://mitra.stanford.edu/kundaje/oak/projects/neuro-variants/variant_position/credible/roussos_2024/variant_figures/roussos_2024.infant.GLU/rs281793_count_position.png",4,220,900)</f>
        <v/>
      </c>
      <c r="T2303">
        <f>IMAGE("https://mitra.stanford.edu/kundaje/oak/projects/neuro-variants/variant_position/credible/roussos_2024/variant_figures/roussos_2024.infant.GLU/rs281793_profile_position.png",4,220,900)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-0.029323032</v>
      </c>
      <c r="G2304" t="n">
        <v>0.2681645473113325</v>
      </c>
      <c r="H2304" t="n">
        <v>0.0132241917665902</v>
      </c>
      <c r="I2304" t="n">
        <v>0.4709137207833004</v>
      </c>
      <c r="J2304" t="n">
        <v>0.0154125972794814</v>
      </c>
      <c r="K2304" t="n">
        <v>0.6072692013544064</v>
      </c>
      <c r="L2304" t="b">
        <v>0</v>
      </c>
      <c r="M2304" t="b">
        <v>0</v>
      </c>
      <c r="N2304" t="inlineStr">
        <is>
          <t>ref</t>
        </is>
      </c>
      <c r="O2304" t="n">
        <v>-10</v>
      </c>
      <c r="P2304" t="n">
        <v>0.001465</v>
      </c>
      <c r="Q2304" t="n">
        <v>95</v>
      </c>
      <c r="R2304" t="n">
        <v>0.02649</v>
      </c>
      <c r="S2304">
        <f>IMAGE("https://mitra.stanford.edu/kundaje/oak/projects/neuro-variants/variant_position/credible/roussos_2024/variant_figures/roussos_2024.infant.GLU/rs2202922_count_position.png",4,220,900)</f>
        <v/>
      </c>
      <c r="T2304">
        <f>IMAGE("https://mitra.stanford.edu/kundaje/oak/projects/neuro-variants/variant_position/credible/roussos_2024/variant_figures/roussos_2024.infant.GLU/rs2202922_profile_position.png",4,220,900)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0.0183144423</v>
      </c>
      <c r="G2305" t="n">
        <v>0.4419820345142076</v>
      </c>
      <c r="H2305" t="n">
        <v>0.0444459891746687</v>
      </c>
      <c r="I2305" t="n">
        <v>0.0132181473247943</v>
      </c>
      <c r="J2305" t="n">
        <v>0.1344363852818624</v>
      </c>
      <c r="K2305" t="n">
        <v>0.159017841802501</v>
      </c>
      <c r="L2305" t="b">
        <v>1</v>
      </c>
      <c r="M2305" t="b">
        <v>0</v>
      </c>
      <c r="N2305" t="inlineStr">
        <is>
          <t>alt</t>
        </is>
      </c>
      <c r="O2305" t="n">
        <v>55</v>
      </c>
      <c r="P2305" t="n">
        <v>0.004272</v>
      </c>
      <c r="Q2305" t="n">
        <v>10</v>
      </c>
      <c r="R2305" t="n">
        <v>0.02856</v>
      </c>
      <c r="S2305">
        <f>IMAGE("https://mitra.stanford.edu/kundaje/oak/projects/neuro-variants/variant_position/credible/roussos_2024/variant_figures/roussos_2024.infant.GLU/rs3106089_count_position.png",4,220,900)</f>
        <v/>
      </c>
      <c r="T2305">
        <f>IMAGE("https://mitra.stanford.edu/kundaje/oak/projects/neuro-variants/variant_position/credible/roussos_2024/variant_figures/roussos_2024.infant.GLU/rs3106089_profile_position.png",4,220,900)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0.01702590846</v>
      </c>
      <c r="G2306" t="n">
        <v>0.5005939910576386</v>
      </c>
      <c r="H2306" t="n">
        <v>0.0271597682610208</v>
      </c>
      <c r="I2306" t="n">
        <v>0.0791047680044016</v>
      </c>
      <c r="J2306" t="n">
        <v>0.0516567825569346</v>
      </c>
      <c r="K2306" t="n">
        <v>0.3464042522886259</v>
      </c>
      <c r="L2306" t="b">
        <v>0</v>
      </c>
      <c r="M2306" t="b">
        <v>0</v>
      </c>
      <c r="N2306" t="inlineStr">
        <is>
          <t>alt</t>
        </is>
      </c>
      <c r="O2306" t="n">
        <v>-100</v>
      </c>
      <c r="P2306" t="n">
        <v>0.01588</v>
      </c>
      <c r="Q2306" t="n">
        <v>80</v>
      </c>
      <c r="R2306" t="n">
        <v>0.05322</v>
      </c>
      <c r="S2306">
        <f>IMAGE("https://mitra.stanford.edu/kundaje/oak/projects/neuro-variants/variant_position/credible/roussos_2024/variant_figures/roussos_2024.infant.GLU/rs1509830_count_position.png",4,220,900)</f>
        <v/>
      </c>
      <c r="T2306">
        <f>IMAGE("https://mitra.stanford.edu/kundaje/oak/projects/neuro-variants/variant_position/credible/roussos_2024/variant_figures/roussos_2024.infant.GLU/rs1509830_profile_position.png",4,220,900)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-0.0064920078399999</v>
      </c>
      <c r="G2307" t="n">
        <v>0.7453335046683641</v>
      </c>
      <c r="H2307" t="n">
        <v>0.0209656637195263</v>
      </c>
      <c r="I2307" t="n">
        <v>0.1626013686534165</v>
      </c>
      <c r="J2307" t="n">
        <v>0.0313807623624858</v>
      </c>
      <c r="K2307" t="n">
        <v>0.4432098798112345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0.2133</v>
      </c>
      <c r="Q2307" t="n">
        <v>100</v>
      </c>
      <c r="R2307" t="n">
        <v>0.2172</v>
      </c>
      <c r="S2307">
        <f>IMAGE("https://mitra.stanford.edu/kundaje/oak/projects/neuro-variants/variant_position/credible/roussos_2024/variant_figures/roussos_2024.infant.GLU/rs2079196_count_position.png",4,220,900)</f>
        <v/>
      </c>
      <c r="T2307">
        <f>IMAGE("https://mitra.stanford.edu/kundaje/oak/projects/neuro-variants/variant_position/credible/roussos_2024/variant_figures/roussos_2024.infant.GLU/rs2079196_profile_position.png",4,220,900)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0.08315502059999989</v>
      </c>
      <c r="G2308" t="n">
        <v>0.0750247462054902</v>
      </c>
      <c r="H2308" t="n">
        <v>0.022038893692876</v>
      </c>
      <c r="I2308" t="n">
        <v>0.1440502469818191</v>
      </c>
      <c r="J2308" t="n">
        <v>0.0141460349654974</v>
      </c>
      <c r="K2308" t="n">
        <v>0.601315531916212</v>
      </c>
      <c r="L2308" t="b">
        <v>0</v>
      </c>
      <c r="M2308" t="b">
        <v>0</v>
      </c>
      <c r="N2308" t="inlineStr">
        <is>
          <t>alt</t>
        </is>
      </c>
      <c r="O2308" t="n">
        <v>80</v>
      </c>
      <c r="P2308" t="n">
        <v>0.01541</v>
      </c>
      <c r="Q2308" t="n">
        <v>45</v>
      </c>
      <c r="R2308" t="n">
        <v>0.0531</v>
      </c>
      <c r="S2308">
        <f>IMAGE("https://mitra.stanford.edu/kundaje/oak/projects/neuro-variants/variant_position/credible/roussos_2024/variant_figures/roussos_2024.infant.GLU/rs3115414_count_position.png",4,220,900)</f>
        <v/>
      </c>
      <c r="T2308">
        <f>IMAGE("https://mitra.stanford.edu/kundaje/oak/projects/neuro-variants/variant_position/credible/roussos_2024/variant_figures/roussos_2024.infant.GLU/rs3115414_profile_position.png",4,220,900)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0.1274755078</v>
      </c>
      <c r="G2309" t="n">
        <v>0.0373168828987833</v>
      </c>
      <c r="H2309" t="n">
        <v>0.0301124983948271</v>
      </c>
      <c r="I2309" t="n">
        <v>0.0584982411967198</v>
      </c>
      <c r="J2309" t="n">
        <v>0.3723009766529244</v>
      </c>
      <c r="K2309" t="n">
        <v>0.0504374141312113</v>
      </c>
      <c r="L2309" t="b">
        <v>0</v>
      </c>
      <c r="M2309" t="b">
        <v>0</v>
      </c>
      <c r="N2309" t="inlineStr">
        <is>
          <t>alt</t>
        </is>
      </c>
      <c r="O2309" t="n">
        <v>-100</v>
      </c>
      <c r="P2309" t="n">
        <v>0.01984</v>
      </c>
      <c r="Q2309" t="n">
        <v>-10</v>
      </c>
      <c r="R2309" t="n">
        <v>0.0654</v>
      </c>
      <c r="S2309">
        <f>IMAGE("https://mitra.stanford.edu/kundaje/oak/projects/neuro-variants/variant_position/credible/roussos_2024/variant_figures/roussos_2024.infant.GLU/rs76568708_count_position.png",4,220,900)</f>
        <v/>
      </c>
      <c r="T2309">
        <f>IMAGE("https://mitra.stanford.edu/kundaje/oak/projects/neuro-variants/variant_position/credible/roussos_2024/variant_figures/roussos_2024.infant.GLU/rs76568708_profile_position.png",4,220,900)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-0.02350092476</v>
      </c>
      <c r="G2310" t="n">
        <v>0.3728177063402807</v>
      </c>
      <c r="H2310" t="n">
        <v>0.0107089380566305</v>
      </c>
      <c r="I2310" t="n">
        <v>0.6695934805836904</v>
      </c>
      <c r="J2310" t="n">
        <v>0.0548061024273021</v>
      </c>
      <c r="K2310" t="n">
        <v>0.3470717880350625</v>
      </c>
      <c r="L2310" t="b">
        <v>0</v>
      </c>
      <c r="M2310" t="b">
        <v>0</v>
      </c>
      <c r="N2310" t="inlineStr">
        <is>
          <t>ref</t>
        </is>
      </c>
      <c r="O2310" t="n">
        <v>35</v>
      </c>
      <c r="P2310" t="n">
        <v>0.000824</v>
      </c>
      <c r="Q2310" t="n">
        <v>85</v>
      </c>
      <c r="R2310" t="n">
        <v>0.04504</v>
      </c>
      <c r="S2310">
        <f>IMAGE("https://mitra.stanford.edu/kundaje/oak/projects/neuro-variants/variant_position/credible/roussos_2024/variant_figures/roussos_2024.infant.GLU/rs10931887_count_position.png",4,220,900)</f>
        <v/>
      </c>
      <c r="T2310">
        <f>IMAGE("https://mitra.stanford.edu/kundaje/oak/projects/neuro-variants/variant_position/credible/roussos_2024/variant_figures/roussos_2024.infant.GLU/rs10931887_profile_position.png",4,220,900)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-0.09433796999999999</v>
      </c>
      <c r="G2311" t="n">
        <v>0.0565632775496385</v>
      </c>
      <c r="H2311" t="n">
        <v>0.0188811781731335</v>
      </c>
      <c r="I2311" t="n">
        <v>0.2141459158894182</v>
      </c>
      <c r="J2311" t="n">
        <v>0.0294395820013668</v>
      </c>
      <c r="K2311" t="n">
        <v>0.4594900788288397</v>
      </c>
      <c r="L2311" t="b">
        <v>0</v>
      </c>
      <c r="M2311" t="b">
        <v>0</v>
      </c>
      <c r="N2311" t="inlineStr">
        <is>
          <t>ref</t>
        </is>
      </c>
      <c r="O2311" t="n">
        <v>-95</v>
      </c>
      <c r="P2311" t="n">
        <v>0.01923</v>
      </c>
      <c r="Q2311" t="n">
        <v>30</v>
      </c>
      <c r="R2311" t="n">
        <v>0.08093</v>
      </c>
      <c r="S2311">
        <f>IMAGE("https://mitra.stanford.edu/kundaje/oak/projects/neuro-variants/variant_position/credible/roussos_2024/variant_figures/roussos_2024.infant.GLU/rs112403441_count_position.png",4,220,900)</f>
        <v/>
      </c>
      <c r="T2311">
        <f>IMAGE("https://mitra.stanford.edu/kundaje/oak/projects/neuro-variants/variant_position/credible/roussos_2024/variant_figures/roussos_2024.infant.GLU/rs112403441_profile_position.png",4,220,900)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-0.0080648592</v>
      </c>
      <c r="G2312" t="n">
        <v>0.4863167410651038</v>
      </c>
      <c r="H2312" t="n">
        <v>0.0428713817609197</v>
      </c>
      <c r="I2312" t="n">
        <v>0.0152382928547781</v>
      </c>
      <c r="J2312" t="n">
        <v>0.0243424678674573</v>
      </c>
      <c r="K2312" t="n">
        <v>0.4967713981696298</v>
      </c>
      <c r="L2312" t="b">
        <v>1</v>
      </c>
      <c r="M2312" t="b">
        <v>0</v>
      </c>
      <c r="N2312" t="inlineStr">
        <is>
          <t>ref</t>
        </is>
      </c>
      <c r="O2312" t="n">
        <v>-100</v>
      </c>
      <c r="P2312" t="n">
        <v>0.01322</v>
      </c>
      <c r="Q2312" t="n">
        <v>-85</v>
      </c>
      <c r="R2312" t="n">
        <v>0.0609</v>
      </c>
      <c r="S2312">
        <f>IMAGE("https://mitra.stanford.edu/kundaje/oak/projects/neuro-variants/variant_position/credible/roussos_2024/variant_figures/roussos_2024.infant.GLU/rs74266489_count_position.png",4,220,900)</f>
        <v/>
      </c>
      <c r="T2312">
        <f>IMAGE("https://mitra.stanford.edu/kundaje/oak/projects/neuro-variants/variant_position/credible/roussos_2024/variant_figures/roussos_2024.infant.GLU/rs74266489_profile_position.png",4,220,900)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-0.029238341</v>
      </c>
      <c r="G2313" t="n">
        <v>0.3373732262793803</v>
      </c>
      <c r="H2313" t="n">
        <v>0.008651204609042199</v>
      </c>
      <c r="I2313" t="n">
        <v>0.8513215825727496</v>
      </c>
      <c r="J2313" t="n">
        <v>0.0363577239357128</v>
      </c>
      <c r="K2313" t="n">
        <v>0.422034721680968</v>
      </c>
      <c r="L2313" t="b">
        <v>0</v>
      </c>
      <c r="M2313" t="b">
        <v>0</v>
      </c>
      <c r="N2313" t="inlineStr">
        <is>
          <t>ref</t>
        </is>
      </c>
      <c r="O2313" t="n">
        <v>-70</v>
      </c>
      <c r="P2313" t="n">
        <v>0.007996</v>
      </c>
      <c r="Q2313" t="n">
        <v>95</v>
      </c>
      <c r="R2313" t="n">
        <v>0.002075</v>
      </c>
      <c r="S2313">
        <f>IMAGE("https://mitra.stanford.edu/kundaje/oak/projects/neuro-variants/variant_position/credible/roussos_2024/variant_figures/roussos_2024.infant.GLU/rs11684942_count_position.png",4,220,900)</f>
        <v/>
      </c>
      <c r="T2313">
        <f>IMAGE("https://mitra.stanford.edu/kundaje/oak/projects/neuro-variants/variant_position/credible/roussos_2024/variant_figures/roussos_2024.infant.GLU/rs11684942_profile_position.png",4,220,900)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-0.035780779</v>
      </c>
      <c r="G2314" t="n">
        <v>0.2874002323509068</v>
      </c>
      <c r="H2314" t="n">
        <v>0.009889819272362601</v>
      </c>
      <c r="I2314" t="n">
        <v>0.7399637266835584</v>
      </c>
      <c r="J2314" t="n">
        <v>0.0315582354108335</v>
      </c>
      <c r="K2314" t="n">
        <v>0.4501538807840105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0.0958</v>
      </c>
      <c r="Q2314" t="n">
        <v>80</v>
      </c>
      <c r="R2314" t="n">
        <v>0.0891</v>
      </c>
      <c r="S2314">
        <f>IMAGE("https://mitra.stanford.edu/kundaje/oak/projects/neuro-variants/variant_position/credible/roussos_2024/variant_figures/roussos_2024.infant.GLU/rs72932296_count_position.png",4,220,900)</f>
        <v/>
      </c>
      <c r="T2314">
        <f>IMAGE("https://mitra.stanford.edu/kundaje/oak/projects/neuro-variants/variant_position/credible/roussos_2024/variant_figures/roussos_2024.infant.GLU/rs72932296_profile_position.png",4,220,900)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-0.049122064</v>
      </c>
      <c r="G2315" t="n">
        <v>0.173314700831581</v>
      </c>
      <c r="H2315" t="n">
        <v>0.027860238105</v>
      </c>
      <c r="I2315" t="n">
        <v>0.0730403391241097</v>
      </c>
      <c r="J2315" t="n">
        <v>0.1570834894949183</v>
      </c>
      <c r="K2315" t="n">
        <v>0.1408603559197301</v>
      </c>
      <c r="L2315" t="b">
        <v>0</v>
      </c>
      <c r="M2315" t="b">
        <v>0</v>
      </c>
      <c r="N2315" t="inlineStr">
        <is>
          <t>ref</t>
        </is>
      </c>
      <c r="O2315" t="n">
        <v>90</v>
      </c>
      <c r="P2315" t="n">
        <v>0.02968</v>
      </c>
      <c r="Q2315" t="n">
        <v>90</v>
      </c>
      <c r="R2315" t="n">
        <v>0.373</v>
      </c>
      <c r="S2315">
        <f>IMAGE("https://mitra.stanford.edu/kundaje/oak/projects/neuro-variants/variant_position/credible/roussos_2024/variant_figures/roussos_2024.infant.GLU/rs1569178_count_position.png",4,220,900)</f>
        <v/>
      </c>
      <c r="T2315">
        <f>IMAGE("https://mitra.stanford.edu/kundaje/oak/projects/neuro-variants/variant_position/credible/roussos_2024/variant_figures/roussos_2024.infant.GLU/rs1569178_profile_position.png",4,220,900)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-0.0472336977999999</v>
      </c>
      <c r="G2316" t="n">
        <v>0.1504856227152778</v>
      </c>
      <c r="H2316" t="n">
        <v>0.015157745890411</v>
      </c>
      <c r="I2316" t="n">
        <v>0.3541386953416295</v>
      </c>
      <c r="J2316" t="n">
        <v>0.0451365770850326</v>
      </c>
      <c r="K2316" t="n">
        <v>0.3655560352769116</v>
      </c>
      <c r="L2316" t="b">
        <v>0</v>
      </c>
      <c r="M2316" t="b">
        <v>0</v>
      </c>
      <c r="N2316" t="inlineStr">
        <is>
          <t>ref</t>
        </is>
      </c>
      <c r="O2316" t="n">
        <v>95</v>
      </c>
      <c r="P2316" t="n">
        <v>0.00505</v>
      </c>
      <c r="Q2316" t="n">
        <v>15</v>
      </c>
      <c r="R2316" t="n">
        <v>0.00659</v>
      </c>
      <c r="S2316">
        <f>IMAGE("https://mitra.stanford.edu/kundaje/oak/projects/neuro-variants/variant_position/credible/roussos_2024/variant_figures/roussos_2024.infant.GLU/rs11679676_count_position.png",4,220,900)</f>
        <v/>
      </c>
      <c r="T2316">
        <f>IMAGE("https://mitra.stanford.edu/kundaje/oak/projects/neuro-variants/variant_position/credible/roussos_2024/variant_figures/roussos_2024.infant.GLU/rs11679676_profile_position.png",4,220,900)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-0.016966782</v>
      </c>
      <c r="G2317" t="n">
        <v>0.4951409899464902</v>
      </c>
      <c r="H2317" t="n">
        <v>0.0437002119188993</v>
      </c>
      <c r="I2317" t="n">
        <v>0.0140734001491676</v>
      </c>
      <c r="J2317" t="n">
        <v>0.0318305077272426</v>
      </c>
      <c r="K2317" t="n">
        <v>0.4495995697062817</v>
      </c>
      <c r="L2317" t="b">
        <v>1</v>
      </c>
      <c r="M2317" t="b">
        <v>0</v>
      </c>
      <c r="N2317" t="inlineStr">
        <is>
          <t>ref</t>
        </is>
      </c>
      <c r="O2317" t="n">
        <v>-60</v>
      </c>
      <c r="P2317" t="n">
        <v>0.02246</v>
      </c>
      <c r="Q2317" t="n">
        <v>100</v>
      </c>
      <c r="R2317" t="n">
        <v>0.07006999999999999</v>
      </c>
      <c r="S2317">
        <f>IMAGE("https://mitra.stanford.edu/kundaje/oak/projects/neuro-variants/variant_position/credible/roussos_2024/variant_figures/roussos_2024.infant.GLU/rs55906940_count_position.png",4,220,900)</f>
        <v/>
      </c>
      <c r="T2317">
        <f>IMAGE("https://mitra.stanford.edu/kundaje/oak/projects/neuro-variants/variant_position/credible/roussos_2024/variant_figures/roussos_2024.infant.GLU/rs55906940_profile_position.png",4,220,900)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0.0085761442</v>
      </c>
      <c r="G2318" t="n">
        <v>0.6295541142862098</v>
      </c>
      <c r="H2318" t="n">
        <v>0.0366961610440631</v>
      </c>
      <c r="I2318" t="n">
        <v>0.0285682183478998</v>
      </c>
      <c r="J2318" t="n">
        <v>0.009939593024537501</v>
      </c>
      <c r="K2318" t="n">
        <v>0.6694794882112816</v>
      </c>
      <c r="L2318" t="b">
        <v>0</v>
      </c>
      <c r="M2318" t="b">
        <v>0</v>
      </c>
      <c r="N2318" t="inlineStr">
        <is>
          <t>alt</t>
        </is>
      </c>
      <c r="O2318" t="n">
        <v>70</v>
      </c>
      <c r="P2318" t="n">
        <v>0.01617</v>
      </c>
      <c r="Q2318" t="n">
        <v>70</v>
      </c>
      <c r="R2318" t="n">
        <v>0.1675</v>
      </c>
      <c r="S2318">
        <f>IMAGE("https://mitra.stanford.edu/kundaje/oak/projects/neuro-variants/variant_position/credible/roussos_2024/variant_figures/roussos_2024.infant.GLU/rs149828043_count_position.png",4,220,900)</f>
        <v/>
      </c>
      <c r="T2318">
        <f>IMAGE("https://mitra.stanford.edu/kundaje/oak/projects/neuro-variants/variant_position/credible/roussos_2024/variant_figures/roussos_2024.infant.GLU/rs149828043_profile_position.png",4,220,900)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-0.0116072856</v>
      </c>
      <c r="G2319" t="n">
        <v>0.4386651130554506</v>
      </c>
      <c r="H2319" t="n">
        <v>0.0463239313767691</v>
      </c>
      <c r="I2319" t="n">
        <v>0.0109074854712733</v>
      </c>
      <c r="J2319" t="n">
        <v>0.1507705196322669</v>
      </c>
      <c r="K2319" t="n">
        <v>0.1428505066435355</v>
      </c>
      <c r="L2319" t="b">
        <v>1</v>
      </c>
      <c r="M2319" t="b">
        <v>0</v>
      </c>
      <c r="N2319" t="inlineStr">
        <is>
          <t>ref</t>
        </is>
      </c>
      <c r="O2319" t="n">
        <v>-40</v>
      </c>
      <c r="P2319" t="n">
        <v>0.004883</v>
      </c>
      <c r="Q2319" t="n">
        <v>-85</v>
      </c>
      <c r="R2319" t="n">
        <v>0.0713</v>
      </c>
      <c r="S2319">
        <f>IMAGE("https://mitra.stanford.edu/kundaje/oak/projects/neuro-variants/variant_position/credible/roussos_2024/variant_figures/roussos_2024.infant.GLU/rs77089299_count_position.png",4,220,900)</f>
        <v/>
      </c>
      <c r="T2319">
        <f>IMAGE("https://mitra.stanford.edu/kundaje/oak/projects/neuro-variants/variant_position/credible/roussos_2024/variant_figures/roussos_2024.infant.GLU/rs77089299_profile_position.png",4,220,900)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0.0645612884</v>
      </c>
      <c r="G2320" t="n">
        <v>0.1168448358335748</v>
      </c>
      <c r="H2320" t="n">
        <v>0.010562045125518</v>
      </c>
      <c r="I2320" t="n">
        <v>0.6353226648666912</v>
      </c>
      <c r="J2320" t="n">
        <v>0.0061200643753168</v>
      </c>
      <c r="K2320" t="n">
        <v>0.7321294689685667</v>
      </c>
      <c r="L2320" t="b">
        <v>0</v>
      </c>
      <c r="M2320" t="b">
        <v>0</v>
      </c>
      <c r="N2320" t="inlineStr">
        <is>
          <t>alt</t>
        </is>
      </c>
      <c r="O2320" t="n">
        <v>-95</v>
      </c>
      <c r="P2320" t="n">
        <v>0.010086</v>
      </c>
      <c r="Q2320" t="n">
        <v>80</v>
      </c>
      <c r="R2320" t="n">
        <v>0.09030000000000001</v>
      </c>
      <c r="S2320">
        <f>IMAGE("https://mitra.stanford.edu/kundaje/oak/projects/neuro-variants/variant_position/credible/roussos_2024/variant_figures/roussos_2024.infant.GLU/rs66621598_count_position.png",4,220,900)</f>
        <v/>
      </c>
      <c r="T2320">
        <f>IMAGE("https://mitra.stanford.edu/kundaje/oak/projects/neuro-variants/variant_position/credible/roussos_2024/variant_figures/roussos_2024.infant.GLU/rs66621598_profile_position.png",4,220,900)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-0.09973698540000001</v>
      </c>
      <c r="G2321" t="n">
        <v>0.0510480491811561</v>
      </c>
      <c r="H2321" t="n">
        <v>0.0602270415486364</v>
      </c>
      <c r="I2321" t="n">
        <v>0.0030179918080629</v>
      </c>
      <c r="J2321" t="n">
        <v>0.0142794153310257</v>
      </c>
      <c r="K2321" t="n">
        <v>0.6194638433938607</v>
      </c>
      <c r="L2321" t="b">
        <v>1</v>
      </c>
      <c r="M2321" t="b">
        <v>0</v>
      </c>
      <c r="N2321" t="inlineStr">
        <is>
          <t>ref</t>
        </is>
      </c>
      <c r="O2321" t="n">
        <v>0</v>
      </c>
      <c r="P2321" t="n">
        <v>0</v>
      </c>
      <c r="Q2321" t="n">
        <v>100</v>
      </c>
      <c r="R2321" t="n">
        <v>0.08409999999999999</v>
      </c>
      <c r="S2321">
        <f>IMAGE("https://mitra.stanford.edu/kundaje/oak/projects/neuro-variants/variant_position/credible/roussos_2024/variant_figures/roussos_2024.infant.GLU/rs4673871_count_position.png",4,220,900)</f>
        <v/>
      </c>
      <c r="T2321">
        <f>IMAGE("https://mitra.stanford.edu/kundaje/oak/projects/neuro-variants/variant_position/credible/roussos_2024/variant_figures/roussos_2024.infant.GLU/rs4673871_profile_position.png",4,220,900)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-0.135704372</v>
      </c>
      <c r="G2322" t="n">
        <v>0.028454866190857</v>
      </c>
      <c r="H2322" t="n">
        <v>0.0328295460732098</v>
      </c>
      <c r="I2322" t="n">
        <v>0.0433003354061525</v>
      </c>
      <c r="J2322" t="n">
        <v>0.0185420754425802</v>
      </c>
      <c r="K2322" t="n">
        <v>0.5701192512934421</v>
      </c>
      <c r="L2322" t="b">
        <v>0</v>
      </c>
      <c r="M2322" t="b">
        <v>0</v>
      </c>
      <c r="N2322" t="inlineStr">
        <is>
          <t>ref</t>
        </is>
      </c>
      <c r="O2322" t="n">
        <v>-80</v>
      </c>
      <c r="P2322" t="n">
        <v>0.0378</v>
      </c>
      <c r="Q2322" t="n">
        <v>35</v>
      </c>
      <c r="R2322" t="n">
        <v>0.0919</v>
      </c>
      <c r="S2322">
        <f>IMAGE("https://mitra.stanford.edu/kundaje/oak/projects/neuro-variants/variant_position/credible/roussos_2024/variant_figures/roussos_2024.infant.GLU/rs11688415_count_position.png",4,220,900)</f>
        <v/>
      </c>
      <c r="T2322">
        <f>IMAGE("https://mitra.stanford.edu/kundaje/oak/projects/neuro-variants/variant_position/credible/roussos_2024/variant_figures/roussos_2024.infant.GLU/rs11688415_profile_position.png",4,220,900)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-0.084461223</v>
      </c>
      <c r="G2323" t="n">
        <v>0.0878418984847299</v>
      </c>
      <c r="H2323" t="n">
        <v>0.0132790426631401</v>
      </c>
      <c r="I2323" t="n">
        <v>0.4570396887819384</v>
      </c>
      <c r="J2323" t="n">
        <v>0.0581439185167221</v>
      </c>
      <c r="K2323" t="n">
        <v>0.3341753877152703</v>
      </c>
      <c r="L2323" t="b">
        <v>0</v>
      </c>
      <c r="M2323" t="b">
        <v>0</v>
      </c>
      <c r="N2323" t="inlineStr">
        <is>
          <t>ref</t>
        </is>
      </c>
      <c r="O2323" t="n">
        <v>-45</v>
      </c>
      <c r="P2323" t="n">
        <v>0.003235</v>
      </c>
      <c r="Q2323" t="n">
        <v>100</v>
      </c>
      <c r="R2323" t="n">
        <v>0.1946</v>
      </c>
      <c r="S2323">
        <f>IMAGE("https://mitra.stanford.edu/kundaje/oak/projects/neuro-variants/variant_position/credible/roussos_2024/variant_figures/roussos_2024.infant.GLU/rs55826210_count_position.png",4,220,900)</f>
        <v/>
      </c>
      <c r="T2323">
        <f>IMAGE("https://mitra.stanford.edu/kundaje/oak/projects/neuro-variants/variant_position/credible/roussos_2024/variant_figures/roussos_2024.infant.GLU/rs55826210_profile_position.png",4,220,900)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-0.03115215</v>
      </c>
      <c r="G2324" t="n">
        <v>0.3113760864860437</v>
      </c>
      <c r="H2324" t="n">
        <v>0.0366697432820353</v>
      </c>
      <c r="I2324" t="n">
        <v>0.0283223065735693</v>
      </c>
      <c r="J2324" t="n">
        <v>0.0172137833726492</v>
      </c>
      <c r="K2324" t="n">
        <v>0.5618180048744121</v>
      </c>
      <c r="L2324" t="b">
        <v>0</v>
      </c>
      <c r="M2324" t="b">
        <v>0</v>
      </c>
      <c r="N2324" t="inlineStr">
        <is>
          <t>ref</t>
        </is>
      </c>
      <c r="O2324" t="n">
        <v>100</v>
      </c>
      <c r="P2324" t="n">
        <v>0.0089</v>
      </c>
      <c r="Q2324" t="n">
        <v>100</v>
      </c>
      <c r="R2324" t="n">
        <v>0.0919</v>
      </c>
      <c r="S2324">
        <f>IMAGE("https://mitra.stanford.edu/kundaje/oak/projects/neuro-variants/variant_position/credible/roussos_2024/variant_figures/roussos_2024.infant.GLU/rs1436162_count_position.png",4,220,900)</f>
        <v/>
      </c>
      <c r="T2324">
        <f>IMAGE("https://mitra.stanford.edu/kundaje/oak/projects/neuro-variants/variant_position/credible/roussos_2024/variant_figures/roussos_2024.infant.GLU/rs1436162_profile_position.png",4,220,900)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-0.0184038258</v>
      </c>
      <c r="G2325" t="n">
        <v>0.2688670900557152</v>
      </c>
      <c r="H2325" t="n">
        <v>0.0130824235545551</v>
      </c>
      <c r="I2325" t="n">
        <v>0.4827237323922168</v>
      </c>
      <c r="J2325" t="n">
        <v>0.1128871888710068</v>
      </c>
      <c r="K2325" t="n">
        <v>0.1948849793702663</v>
      </c>
      <c r="L2325" t="b">
        <v>0</v>
      </c>
      <c r="M2325" t="b">
        <v>0</v>
      </c>
      <c r="N2325" t="inlineStr">
        <is>
          <t>ref</t>
        </is>
      </c>
      <c r="O2325" t="n">
        <v>-95</v>
      </c>
      <c r="P2325" t="n">
        <v>0.00818</v>
      </c>
      <c r="Q2325" t="n">
        <v>100</v>
      </c>
      <c r="R2325" t="n">
        <v>0.1156</v>
      </c>
      <c r="S2325">
        <f>IMAGE("https://mitra.stanford.edu/kundaje/oak/projects/neuro-variants/variant_position/credible/roussos_2024/variant_figures/roussos_2024.infant.GLU/rs3769481_count_position.png",4,220,900)</f>
        <v/>
      </c>
      <c r="T2325">
        <f>IMAGE("https://mitra.stanford.edu/kundaje/oak/projects/neuro-variants/variant_position/credible/roussos_2024/variant_figures/roussos_2024.infant.GLU/rs3769481_profile_position.png",4,220,900)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-0.0056203009</v>
      </c>
      <c r="G2326" t="n">
        <v>0.343433747358636</v>
      </c>
      <c r="H2326" t="n">
        <v>0.0144095896045961</v>
      </c>
      <c r="I2326" t="n">
        <v>0.3940755546456281</v>
      </c>
      <c r="J2326" t="n">
        <v>0.1500628320730174</v>
      </c>
      <c r="K2326" t="n">
        <v>0.1460065374210617</v>
      </c>
      <c r="L2326" t="b">
        <v>0</v>
      </c>
      <c r="M2326" t="b">
        <v>0</v>
      </c>
      <c r="N2326" t="inlineStr">
        <is>
          <t>ref</t>
        </is>
      </c>
      <c r="O2326" t="n">
        <v>65</v>
      </c>
      <c r="P2326" t="n">
        <v>0.02014</v>
      </c>
      <c r="Q2326" t="n">
        <v>45</v>
      </c>
      <c r="R2326" t="n">
        <v>0.04004</v>
      </c>
      <c r="S2326">
        <f>IMAGE("https://mitra.stanford.edu/kundaje/oak/projects/neuro-variants/variant_position/credible/roussos_2024/variant_figures/roussos_2024.infant.GLU/rs17592552_count_position.png",4,220,900)</f>
        <v/>
      </c>
      <c r="T2326">
        <f>IMAGE("https://mitra.stanford.edu/kundaje/oak/projects/neuro-variants/variant_position/credible/roussos_2024/variant_figures/roussos_2024.infant.GLU/rs17592552_profile_position.png",4,220,900)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-0.13866722</v>
      </c>
      <c r="G2327" t="n">
        <v>0.0259168320817267</v>
      </c>
      <c r="H2327" t="n">
        <v>0.0165105062051847</v>
      </c>
      <c r="I2327" t="n">
        <v>0.2966887093280924</v>
      </c>
      <c r="J2327" t="n">
        <v>0.2241109812826561</v>
      </c>
      <c r="K2327" t="n">
        <v>0.0974553998601288</v>
      </c>
      <c r="L2327" t="b">
        <v>0</v>
      </c>
      <c r="M2327" t="b">
        <v>0</v>
      </c>
      <c r="N2327" t="inlineStr">
        <is>
          <t>ref</t>
        </is>
      </c>
      <c r="O2327" t="n">
        <v>80</v>
      </c>
      <c r="P2327" t="n">
        <v>0.003487</v>
      </c>
      <c r="Q2327" t="n">
        <v>-5</v>
      </c>
      <c r="R2327" t="n">
        <v>0.0007324</v>
      </c>
      <c r="S2327">
        <f>IMAGE("https://mitra.stanford.edu/kundaje/oak/projects/neuro-variants/variant_position/credible/roussos_2024/variant_figures/roussos_2024.infant.GLU/rs67067836_count_position.png",4,220,900)</f>
        <v/>
      </c>
      <c r="T2327">
        <f>IMAGE("https://mitra.stanford.edu/kundaje/oak/projects/neuro-variants/variant_position/credible/roussos_2024/variant_figures/roussos_2024.infant.GLU/rs67067836_profile_position.png",4,220,900)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-0.30430636</v>
      </c>
      <c r="G2328" t="n">
        <v>0.002986040979531</v>
      </c>
      <c r="H2328" t="n">
        <v>0.0438946980000499</v>
      </c>
      <c r="I2328" t="n">
        <v>0.0138636387247332</v>
      </c>
      <c r="J2328" t="n">
        <v>0.0992030247580413</v>
      </c>
      <c r="K2328" t="n">
        <v>0.208250954493897</v>
      </c>
      <c r="L2328" t="b">
        <v>1</v>
      </c>
      <c r="M2328" t="b">
        <v>1</v>
      </c>
      <c r="N2328" t="inlineStr">
        <is>
          <t>ref</t>
        </is>
      </c>
      <c r="O2328" t="n">
        <v>-55</v>
      </c>
      <c r="P2328" t="n">
        <v>0.0141</v>
      </c>
      <c r="Q2328" t="n">
        <v>-50</v>
      </c>
      <c r="R2328" t="n">
        <v>0.0376</v>
      </c>
      <c r="S2328">
        <f>IMAGE("https://mitra.stanford.edu/kundaje/oak/projects/neuro-variants/variant_position/credible/roussos_2024/variant_figures/roussos_2024.infant.GLU/rs3769474_count_position.png",4,220,900)</f>
        <v/>
      </c>
      <c r="T2328">
        <f>IMAGE("https://mitra.stanford.edu/kundaje/oak/projects/neuro-variants/variant_position/credible/roussos_2024/variant_figures/roussos_2024.infant.GLU/rs3769474_profile_position.png",4,220,900)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-0.0323083142</v>
      </c>
      <c r="G2329" t="n">
        <v>0.2935545041050653</v>
      </c>
      <c r="H2329" t="n">
        <v>0.0228215485365505</v>
      </c>
      <c r="I2329" t="n">
        <v>0.1301271923120055</v>
      </c>
      <c r="J2329" t="n">
        <v>0.0205736458034788</v>
      </c>
      <c r="K2329" t="n">
        <v>0.5334235991652146</v>
      </c>
      <c r="L2329" t="b">
        <v>0</v>
      </c>
      <c r="M2329" t="b">
        <v>0</v>
      </c>
      <c r="N2329" t="inlineStr">
        <is>
          <t>ref</t>
        </is>
      </c>
      <c r="O2329" t="n">
        <v>-100</v>
      </c>
      <c r="P2329" t="n">
        <v>0.02324</v>
      </c>
      <c r="Q2329" t="n">
        <v>-85</v>
      </c>
      <c r="R2329" t="n">
        <v>0.12317</v>
      </c>
      <c r="S2329">
        <f>IMAGE("https://mitra.stanford.edu/kundaje/oak/projects/neuro-variants/variant_position/credible/roussos_2024/variant_figures/roussos_2024.infant.GLU/rs295127_count_position.png",4,220,900)</f>
        <v/>
      </c>
      <c r="T2329">
        <f>IMAGE("https://mitra.stanford.edu/kundaje/oak/projects/neuro-variants/variant_position/credible/roussos_2024/variant_figures/roussos_2024.infant.GLU/rs295127_profile_position.png",4,220,900)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0.0089828628</v>
      </c>
      <c r="G2330" t="n">
        <v>0.3346755148373162</v>
      </c>
      <c r="H2330" t="n">
        <v>0.0188122713888876</v>
      </c>
      <c r="I2330" t="n">
        <v>0.2222086938056105</v>
      </c>
      <c r="J2330" t="n">
        <v>0.0516722149959213</v>
      </c>
      <c r="K2330" t="n">
        <v>0.3339278680340444</v>
      </c>
      <c r="L2330" t="b">
        <v>0</v>
      </c>
      <c r="M2330" t="b">
        <v>0</v>
      </c>
      <c r="N2330" t="inlineStr">
        <is>
          <t>alt</t>
        </is>
      </c>
      <c r="O2330" t="n">
        <v>-10</v>
      </c>
      <c r="P2330" t="n">
        <v>0.000473</v>
      </c>
      <c r="Q2330" t="n">
        <v>35</v>
      </c>
      <c r="R2330" t="n">
        <v>0.05322</v>
      </c>
      <c r="S2330">
        <f>IMAGE("https://mitra.stanford.edu/kundaje/oak/projects/neuro-variants/variant_position/credible/roussos_2024/variant_figures/roussos_2024.infant.GLU/rs78412932_count_position.png",4,220,900)</f>
        <v/>
      </c>
      <c r="T2330">
        <f>IMAGE("https://mitra.stanford.edu/kundaje/oak/projects/neuro-variants/variant_position/credible/roussos_2024/variant_figures/roussos_2024.infant.GLU/rs78412932_profile_position.png",4,220,900)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-0.00777586958</v>
      </c>
      <c r="G2331" t="n">
        <v>0.6571598401779425</v>
      </c>
      <c r="H2331" t="n">
        <v>0.0239107576043555</v>
      </c>
      <c r="I2331" t="n">
        <v>0.1140299177848658</v>
      </c>
      <c r="J2331" t="n">
        <v>0.0032430168213584</v>
      </c>
      <c r="K2331" t="n">
        <v>0.8057214900327385</v>
      </c>
      <c r="L2331" t="b">
        <v>0</v>
      </c>
      <c r="M2331" t="b">
        <v>0</v>
      </c>
      <c r="N2331" t="inlineStr">
        <is>
          <t>ref</t>
        </is>
      </c>
      <c r="O2331" t="n">
        <v>60</v>
      </c>
      <c r="P2331" t="n">
        <v>0.01155</v>
      </c>
      <c r="Q2331" t="n">
        <v>-85</v>
      </c>
      <c r="R2331" t="n">
        <v>0.03857</v>
      </c>
      <c r="S2331">
        <f>IMAGE("https://mitra.stanford.edu/kundaje/oak/projects/neuro-variants/variant_position/credible/roussos_2024/variant_figures/roussos_2024.infant.GLU/rs295130_count_position.png",4,220,900)</f>
        <v/>
      </c>
      <c r="T2331">
        <f>IMAGE("https://mitra.stanford.edu/kundaje/oak/projects/neuro-variants/variant_position/credible/roussos_2024/variant_figures/roussos_2024.infant.GLU/rs295130_profile_position.png",4,220,900)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0.0467100034</v>
      </c>
      <c r="G2332" t="n">
        <v>0.1858026932681153</v>
      </c>
      <c r="H2332" t="n">
        <v>0.0413042268974864</v>
      </c>
      <c r="I2332" t="n">
        <v>0.0176919946558225</v>
      </c>
      <c r="J2332" t="n">
        <v>0.0997244207323794</v>
      </c>
      <c r="K2332" t="n">
        <v>0.2088672701117893</v>
      </c>
      <c r="L2332" t="b">
        <v>1</v>
      </c>
      <c r="M2332" t="b">
        <v>0</v>
      </c>
      <c r="N2332" t="inlineStr">
        <is>
          <t>alt</t>
        </is>
      </c>
      <c r="O2332" t="n">
        <v>-75</v>
      </c>
      <c r="P2332" t="n">
        <v>0.01212</v>
      </c>
      <c r="Q2332" t="n">
        <v>60</v>
      </c>
      <c r="R2332" t="n">
        <v>0.04565</v>
      </c>
      <c r="S2332">
        <f>IMAGE("https://mitra.stanford.edu/kundaje/oak/projects/neuro-variants/variant_position/credible/roussos_2024/variant_figures/roussos_2024.infant.GLU/rs296789_count_position.png",4,220,900)</f>
        <v/>
      </c>
      <c r="T2332">
        <f>IMAGE("https://mitra.stanford.edu/kundaje/oak/projects/neuro-variants/variant_position/credible/roussos_2024/variant_figures/roussos_2024.infant.GLU/rs296789_profile_position.png",4,220,900)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-0.00966445682</v>
      </c>
      <c r="G2333" t="n">
        <v>0.6569021527350786</v>
      </c>
      <c r="H2333" t="n">
        <v>0.0390731464692652</v>
      </c>
      <c r="I2333" t="n">
        <v>0.0223461010811932</v>
      </c>
      <c r="J2333" t="n">
        <v>0.0056438634008685</v>
      </c>
      <c r="K2333" t="n">
        <v>0.7363626502279504</v>
      </c>
      <c r="L2333" t="b">
        <v>0</v>
      </c>
      <c r="M2333" t="b">
        <v>0</v>
      </c>
      <c r="N2333" t="inlineStr">
        <is>
          <t>ref</t>
        </is>
      </c>
      <c r="O2333" t="n">
        <v>-75</v>
      </c>
      <c r="P2333" t="n">
        <v>0.03442</v>
      </c>
      <c r="Q2333" t="n">
        <v>-75</v>
      </c>
      <c r="R2333" t="n">
        <v>0.08826000000000001</v>
      </c>
      <c r="S2333">
        <f>IMAGE("https://mitra.stanford.edu/kundaje/oak/projects/neuro-variants/variant_position/credible/roussos_2024/variant_figures/roussos_2024.infant.GLU/rs3769459_count_position.png",4,220,900)</f>
        <v/>
      </c>
      <c r="T2333">
        <f>IMAGE("https://mitra.stanford.edu/kundaje/oak/projects/neuro-variants/variant_position/credible/roussos_2024/variant_figures/roussos_2024.infant.GLU/rs3769459_profile_position.png",4,220,900)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0.00463341178</v>
      </c>
      <c r="G2334" t="n">
        <v>0.6751239459080636</v>
      </c>
      <c r="H2334" t="n">
        <v>0.0416540966174665</v>
      </c>
      <c r="I2334" t="n">
        <v>0.0172212434086618</v>
      </c>
      <c r="J2334" t="n">
        <v>0.0295994179765867</v>
      </c>
      <c r="K2334" t="n">
        <v>0.4609293000747977</v>
      </c>
      <c r="L2334" t="b">
        <v>1</v>
      </c>
      <c r="M2334" t="b">
        <v>0</v>
      </c>
      <c r="N2334" t="inlineStr">
        <is>
          <t>alt</t>
        </is>
      </c>
      <c r="O2334" t="n">
        <v>-45</v>
      </c>
      <c r="P2334" t="n">
        <v>0.02454</v>
      </c>
      <c r="Q2334" t="n">
        <v>100</v>
      </c>
      <c r="R2334" t="n">
        <v>0.02356</v>
      </c>
      <c r="S2334">
        <f>IMAGE("https://mitra.stanford.edu/kundaje/oak/projects/neuro-variants/variant_position/credible/roussos_2024/variant_figures/roussos_2024.infant.GLU/rs3791705_count_position.png",4,220,900)</f>
        <v/>
      </c>
      <c r="T2334">
        <f>IMAGE("https://mitra.stanford.edu/kundaje/oak/projects/neuro-variants/variant_position/credible/roussos_2024/variant_figures/roussos_2024.infant.GLU/rs3791705_profile_position.png",4,220,900)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-0.0790428106</v>
      </c>
      <c r="G2335" t="n">
        <v>0.0832254620976968</v>
      </c>
      <c r="H2335" t="n">
        <v>0.0414920549245354</v>
      </c>
      <c r="I2335" t="n">
        <v>0.0173864942775994</v>
      </c>
      <c r="J2335" t="n">
        <v>0.2633821292356533</v>
      </c>
      <c r="K2335" t="n">
        <v>0.08436836153501751</v>
      </c>
      <c r="L2335" t="b">
        <v>1</v>
      </c>
      <c r="M2335" t="b">
        <v>0</v>
      </c>
      <c r="N2335" t="inlineStr">
        <is>
          <t>ref</t>
        </is>
      </c>
      <c r="O2335" t="n">
        <v>-5</v>
      </c>
      <c r="P2335" t="n">
        <v>0.004883</v>
      </c>
      <c r="Q2335" t="n">
        <v>-5</v>
      </c>
      <c r="R2335" t="n">
        <v>0.03516</v>
      </c>
      <c r="S2335">
        <f>IMAGE("https://mitra.stanford.edu/kundaje/oak/projects/neuro-variants/variant_position/credible/roussos_2024/variant_figures/roussos_2024.infant.GLU/rs6738323_count_position.png",4,220,900)</f>
        <v/>
      </c>
      <c r="T2335">
        <f>IMAGE("https://mitra.stanford.edu/kundaje/oak/projects/neuro-variants/variant_position/credible/roussos_2024/variant_figures/roussos_2024.infant.GLU/rs6738323_profile_position.png",4,220,900)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-0.168413386</v>
      </c>
      <c r="G2336" t="n">
        <v>0.0158579992060181</v>
      </c>
      <c r="H2336" t="n">
        <v>0.0523887829470191</v>
      </c>
      <c r="I2336" t="n">
        <v>0.0064348814239749</v>
      </c>
      <c r="J2336" t="n">
        <v>0.7647743556956723</v>
      </c>
      <c r="K2336" t="n">
        <v>0.0102807853270802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0.0473</v>
      </c>
      <c r="Q2336" t="n">
        <v>-95</v>
      </c>
      <c r="R2336" t="n">
        <v>0.0796</v>
      </c>
      <c r="S2336">
        <f>IMAGE("https://mitra.stanford.edu/kundaje/oak/projects/neuro-variants/variant_position/credible/roussos_2024/variant_figures/roussos_2024.infant.GLU/rs1384292_count_position.png",4,220,900)</f>
        <v/>
      </c>
      <c r="T2336">
        <f>IMAGE("https://mitra.stanford.edu/kundaje/oak/projects/neuro-variants/variant_position/credible/roussos_2024/variant_figures/roussos_2024.infant.GLU/rs1384292_profile_position.png",4,220,900)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-0.0735459764</v>
      </c>
      <c r="G2337" t="n">
        <v>0.0960738634189128</v>
      </c>
      <c r="H2337" t="n">
        <v>0.0158755201099956</v>
      </c>
      <c r="I2337" t="n">
        <v>0.3231798855736527</v>
      </c>
      <c r="J2337" t="n">
        <v>0.9103342225357702</v>
      </c>
      <c r="K2337" t="n">
        <v>0.0028374486451329</v>
      </c>
      <c r="L2337" t="b">
        <v>0</v>
      </c>
      <c r="M2337" t="b">
        <v>0</v>
      </c>
      <c r="N2337" t="inlineStr">
        <is>
          <t>ref</t>
        </is>
      </c>
      <c r="O2337" t="n">
        <v>-25</v>
      </c>
      <c r="P2337" t="n">
        <v>0.001465</v>
      </c>
      <c r="Q2337" t="n">
        <v>-40</v>
      </c>
      <c r="R2337" t="n">
        <v>0.1245</v>
      </c>
      <c r="S2337">
        <f>IMAGE("https://mitra.stanford.edu/kundaje/oak/projects/neuro-variants/variant_position/credible/roussos_2024/variant_figures/roussos_2024.infant.GLU/rs6735626_count_position.png",4,220,900)</f>
        <v/>
      </c>
      <c r="T2337">
        <f>IMAGE("https://mitra.stanford.edu/kundaje/oak/projects/neuro-variants/variant_position/credible/roussos_2024/variant_figures/roussos_2024.infant.GLU/rs6735626_profile_position.png",4,220,900)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0.03845857</v>
      </c>
      <c r="G2338" t="n">
        <v>0.2364061947576234</v>
      </c>
      <c r="H2338" t="n">
        <v>0.0095857843397796</v>
      </c>
      <c r="I2338" t="n">
        <v>0.7698875012855588</v>
      </c>
      <c r="J2338" t="n">
        <v>0.3832734407725037</v>
      </c>
      <c r="K2338" t="n">
        <v>0.0481861487520709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0.06665</v>
      </c>
      <c r="Q2338" t="n">
        <v>95</v>
      </c>
      <c r="R2338" t="n">
        <v>0.1956</v>
      </c>
      <c r="S2338">
        <f>IMAGE("https://mitra.stanford.edu/kundaje/oak/projects/neuro-variants/variant_position/credible/roussos_2024/variant_figures/roussos_2024.infant.GLU/rs10182996_count_position.png",4,220,900)</f>
        <v/>
      </c>
      <c r="T2338">
        <f>IMAGE("https://mitra.stanford.edu/kundaje/oak/projects/neuro-variants/variant_position/credible/roussos_2024/variant_figures/roussos_2024.infant.GLU/rs10182996_profile_position.png",4,220,900)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-0.05566189</v>
      </c>
      <c r="G2339" t="n">
        <v>0.1623310297278336</v>
      </c>
      <c r="H2339" t="n">
        <v>0.0190521935094851</v>
      </c>
      <c r="I2339" t="n">
        <v>0.2118527702584675</v>
      </c>
      <c r="J2339" t="n">
        <v>0.0104532727793822</v>
      </c>
      <c r="K2339" t="n">
        <v>0.6586778610343386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0.1816</v>
      </c>
      <c r="Q2339" t="n">
        <v>-95</v>
      </c>
      <c r="R2339" t="n">
        <v>0.1083</v>
      </c>
      <c r="S2339">
        <f>IMAGE("https://mitra.stanford.edu/kundaje/oak/projects/neuro-variants/variant_position/credible/roussos_2024/variant_figures/roussos_2024.infant.GLU/rs10207878_count_position.png",4,220,900)</f>
        <v/>
      </c>
      <c r="T2339">
        <f>IMAGE("https://mitra.stanford.edu/kundaje/oak/projects/neuro-variants/variant_position/credible/roussos_2024/variant_figures/roussos_2024.infant.GLU/rs10207878_profile_position.png",4,220,900)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0.01774705848</v>
      </c>
      <c r="G2340" t="n">
        <v>0.2436717617870058</v>
      </c>
      <c r="H2340" t="n">
        <v>0.0118933862887261</v>
      </c>
      <c r="I2340" t="n">
        <v>0.563295022862089</v>
      </c>
      <c r="J2340" t="n">
        <v>0.3560605392535109</v>
      </c>
      <c r="K2340" t="n">
        <v>0.0552298985999655</v>
      </c>
      <c r="L2340" t="b">
        <v>0</v>
      </c>
      <c r="M2340" t="b">
        <v>0</v>
      </c>
      <c r="N2340" t="inlineStr">
        <is>
          <t>alt</t>
        </is>
      </c>
      <c r="O2340" t="n">
        <v>85</v>
      </c>
      <c r="P2340" t="n">
        <v>0.0149</v>
      </c>
      <c r="Q2340" t="n">
        <v>50</v>
      </c>
      <c r="R2340" t="n">
        <v>0.09753000000000001</v>
      </c>
      <c r="S2340">
        <f>IMAGE("https://mitra.stanford.edu/kundaje/oak/projects/neuro-variants/variant_position/credible/roussos_2024/variant_figures/roussos_2024.infant.GLU/rs1523921_count_position.png",4,220,900)</f>
        <v/>
      </c>
      <c r="T2340">
        <f>IMAGE("https://mitra.stanford.edu/kundaje/oak/projects/neuro-variants/variant_position/credible/roussos_2024/variant_figures/roussos_2024.infant.GLU/rs1523921_profile_position.png",4,220,900)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-0.01061334668</v>
      </c>
      <c r="G2341" t="n">
        <v>0.6341163247315335</v>
      </c>
      <c r="H2341" t="n">
        <v>0.0298213277024102</v>
      </c>
      <c r="I2341" t="n">
        <v>0.058884694516269</v>
      </c>
      <c r="J2341" t="n">
        <v>0.0554763112061552</v>
      </c>
      <c r="K2341" t="n">
        <v>0.3318196500566859</v>
      </c>
      <c r="L2341" t="b">
        <v>0</v>
      </c>
      <c r="M2341" t="b">
        <v>0</v>
      </c>
      <c r="N2341" t="inlineStr">
        <is>
          <t>ref</t>
        </is>
      </c>
      <c r="O2341" t="n">
        <v>-100</v>
      </c>
      <c r="P2341" t="n">
        <v>0.00787</v>
      </c>
      <c r="Q2341" t="n">
        <v>-65</v>
      </c>
      <c r="R2341" t="n">
        <v>0.09619999999999999</v>
      </c>
      <c r="S2341">
        <f>IMAGE("https://mitra.stanford.edu/kundaje/oak/projects/neuro-variants/variant_position/credible/roussos_2024/variant_figures/roussos_2024.infant.GLU/rs12470077_count_position.png",4,220,900)</f>
        <v/>
      </c>
      <c r="T2341">
        <f>IMAGE("https://mitra.stanford.edu/kundaje/oak/projects/neuro-variants/variant_position/credible/roussos_2024/variant_figures/roussos_2024.infant.GLU/rs12470077_profile_position.png",4,220,900)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-0.027813182</v>
      </c>
      <c r="G2342" t="n">
        <v>0.3507751469231601</v>
      </c>
      <c r="H2342" t="n">
        <v>0.019087028998065</v>
      </c>
      <c r="I2342" t="n">
        <v>0.2073286457685206</v>
      </c>
      <c r="J2342" t="n">
        <v>0.0239963403073259</v>
      </c>
      <c r="K2342" t="n">
        <v>0.4954880500889665</v>
      </c>
      <c r="L2342" t="b">
        <v>0</v>
      </c>
      <c r="M2342" t="b">
        <v>0</v>
      </c>
      <c r="N2342" t="inlineStr">
        <is>
          <t>ref</t>
        </is>
      </c>
      <c r="O2342" t="n">
        <v>-15</v>
      </c>
      <c r="P2342" t="n">
        <v>0.000992</v>
      </c>
      <c r="Q2342" t="n">
        <v>-100</v>
      </c>
      <c r="R2342" t="n">
        <v>0.04718</v>
      </c>
      <c r="S2342">
        <f>IMAGE("https://mitra.stanford.edu/kundaje/oak/projects/neuro-variants/variant_position/credible/roussos_2024/variant_figures/roussos_2024.infant.GLU/rs147137183_count_position.png",4,220,900)</f>
        <v/>
      </c>
      <c r="T2342">
        <f>IMAGE("https://mitra.stanford.edu/kundaje/oak/projects/neuro-variants/variant_position/credible/roussos_2024/variant_figures/roussos_2024.infant.GLU/rs147137183_profile_position.png",4,220,900)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0.008079861779999999</v>
      </c>
      <c r="G2343" t="n">
        <v>0.6768616895750029</v>
      </c>
      <c r="H2343" t="n">
        <v>0.0403603995372288</v>
      </c>
      <c r="I2343" t="n">
        <v>0.0197754916607476</v>
      </c>
      <c r="J2343" t="n">
        <v>0.0133159902114243</v>
      </c>
      <c r="K2343" t="n">
        <v>0.60860519134736</v>
      </c>
      <c r="L2343" t="b">
        <v>1</v>
      </c>
      <c r="M2343" t="b">
        <v>0</v>
      </c>
      <c r="N2343" t="inlineStr">
        <is>
          <t>alt</t>
        </is>
      </c>
      <c r="O2343" t="n">
        <v>-45</v>
      </c>
      <c r="P2343" t="n">
        <v>0.01917</v>
      </c>
      <c r="Q2343" t="n">
        <v>-50</v>
      </c>
      <c r="R2343" t="n">
        <v>0.0663</v>
      </c>
      <c r="S2343">
        <f>IMAGE("https://mitra.stanford.edu/kundaje/oak/projects/neuro-variants/variant_position/credible/roussos_2024/variant_figures/roussos_2024.infant.GLU/rs72974238_count_position.png",4,220,900)</f>
        <v/>
      </c>
      <c r="T2343">
        <f>IMAGE("https://mitra.stanford.edu/kundaje/oak/projects/neuro-variants/variant_position/credible/roussos_2024/variant_figures/roussos_2024.infant.GLU/rs72974238_profile_position.png",4,220,900)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-0.0102061969999999</v>
      </c>
      <c r="G2344" t="n">
        <v>0.6435529303469525</v>
      </c>
      <c r="H2344" t="n">
        <v>0.0408359513606961</v>
      </c>
      <c r="I2344" t="n">
        <v>0.0186927222811463</v>
      </c>
      <c r="J2344" t="n">
        <v>0.1053076566943715</v>
      </c>
      <c r="K2344" t="n">
        <v>0.2059218372227498</v>
      </c>
      <c r="L2344" t="b">
        <v>1</v>
      </c>
      <c r="M2344" t="b">
        <v>0</v>
      </c>
      <c r="N2344" t="inlineStr">
        <is>
          <t>ref</t>
        </is>
      </c>
      <c r="O2344" t="n">
        <v>35</v>
      </c>
      <c r="P2344" t="n">
        <v>0.04333</v>
      </c>
      <c r="Q2344" t="n">
        <v>100</v>
      </c>
      <c r="R2344" t="n">
        <v>0.112</v>
      </c>
      <c r="S2344">
        <f>IMAGE("https://mitra.stanford.edu/kundaje/oak/projects/neuro-variants/variant_position/credible/roussos_2024/variant_figures/roussos_2024.infant.GLU/rs80236857_count_position.png",4,220,900)</f>
        <v/>
      </c>
      <c r="T2344">
        <f>IMAGE("https://mitra.stanford.edu/kundaje/oak/projects/neuro-variants/variant_position/credible/roussos_2024/variant_figures/roussos_2024.infant.GLU/rs80236857_profile_position.png",4,220,900)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-0.034901064046</v>
      </c>
      <c r="G2345" t="n">
        <v>0.2758546264570817</v>
      </c>
      <c r="H2345" t="n">
        <v>0.0142557410308859</v>
      </c>
      <c r="I2345" t="n">
        <v>0.4040363476660775</v>
      </c>
      <c r="J2345" t="n">
        <v>0.1609118366807028</v>
      </c>
      <c r="K2345" t="n">
        <v>0.1370297652550641</v>
      </c>
      <c r="L2345" t="b">
        <v>0</v>
      </c>
      <c r="M2345" t="b">
        <v>0</v>
      </c>
      <c r="N2345" t="inlineStr">
        <is>
          <t>ref</t>
        </is>
      </c>
      <c r="O2345" t="n">
        <v>95</v>
      </c>
      <c r="P2345" t="n">
        <v>0.008895999999999999</v>
      </c>
      <c r="Q2345" t="n">
        <v>-30</v>
      </c>
      <c r="R2345" t="n">
        <v>0.0426</v>
      </c>
      <c r="S2345">
        <f>IMAGE("https://mitra.stanford.edu/kundaje/oak/projects/neuro-variants/variant_position/credible/roussos_2024/variant_figures/roussos_2024.infant.GLU/rs73090183_count_position.png",4,220,900)</f>
        <v/>
      </c>
      <c r="T2345">
        <f>IMAGE("https://mitra.stanford.edu/kundaje/oak/projects/neuro-variants/variant_position/credible/roussos_2024/variant_figures/roussos_2024.infant.GLU/rs73090183_profile_position.png",4,220,900)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-0.0197939816</v>
      </c>
      <c r="G2346" t="n">
        <v>0.4564649682401306</v>
      </c>
      <c r="H2346" t="n">
        <v>0.0364310767275421</v>
      </c>
      <c r="I2346" t="n">
        <v>0.0292795495819283</v>
      </c>
      <c r="J2346" t="n">
        <v>0.0071088427875393</v>
      </c>
      <c r="K2346" t="n">
        <v>0.7110187784721106</v>
      </c>
      <c r="L2346" t="b">
        <v>0</v>
      </c>
      <c r="M2346" t="b">
        <v>0</v>
      </c>
      <c r="N2346" t="inlineStr">
        <is>
          <t>ref</t>
        </is>
      </c>
      <c r="O2346" t="n">
        <v>80</v>
      </c>
      <c r="P2346" t="n">
        <v>0.0377</v>
      </c>
      <c r="Q2346" t="n">
        <v>75</v>
      </c>
      <c r="R2346" t="n">
        <v>0.10516</v>
      </c>
      <c r="S2346">
        <f>IMAGE("https://mitra.stanford.edu/kundaje/oak/projects/neuro-variants/variant_position/credible/roussos_2024/variant_figures/roussos_2024.infant.GLU/rs34376789_count_position.png",4,220,900)</f>
        <v/>
      </c>
      <c r="T2346">
        <f>IMAGE("https://mitra.stanford.edu/kundaje/oak/projects/neuro-variants/variant_position/credible/roussos_2024/variant_figures/roussos_2024.infant.GLU/rs34376789_profile_position.png",4,220,900)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0.108851192</v>
      </c>
      <c r="G2347" t="n">
        <v>0.0415789782980913</v>
      </c>
      <c r="H2347" t="n">
        <v>0.0242161159852446</v>
      </c>
      <c r="I2347" t="n">
        <v>0.1098592218125312</v>
      </c>
      <c r="J2347" t="n">
        <v>0.4346248815009149</v>
      </c>
      <c r="K2347" t="n">
        <v>0.0392232295601785</v>
      </c>
      <c r="L2347" t="b">
        <v>0</v>
      </c>
      <c r="M2347" t="b">
        <v>0</v>
      </c>
      <c r="N2347" t="inlineStr">
        <is>
          <t>alt</t>
        </is>
      </c>
      <c r="O2347" t="n">
        <v>100</v>
      </c>
      <c r="P2347" t="n">
        <v>0.05237</v>
      </c>
      <c r="Q2347" t="n">
        <v>95</v>
      </c>
      <c r="R2347" t="n">
        <v>0.1133</v>
      </c>
      <c r="S2347">
        <f>IMAGE("https://mitra.stanford.edu/kundaje/oak/projects/neuro-variants/variant_position/credible/roussos_2024/variant_figures/roussos_2024.infant.GLU/rs11884034_count_position.png",4,220,900)</f>
        <v/>
      </c>
      <c r="T2347">
        <f>IMAGE("https://mitra.stanford.edu/kundaje/oak/projects/neuro-variants/variant_position/credible/roussos_2024/variant_figures/roussos_2024.infant.GLU/rs11884034_profile_position.png",4,220,900)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-0.1059280349999999</v>
      </c>
      <c r="G2348" t="n">
        <v>0.0439916291792149</v>
      </c>
      <c r="H2348" t="n">
        <v>0.0200223705840423</v>
      </c>
      <c r="I2348" t="n">
        <v>0.1846356731568939</v>
      </c>
      <c r="J2348" t="n">
        <v>0.3267620538371656</v>
      </c>
      <c r="K2348" t="n">
        <v>0.0602271346476851</v>
      </c>
      <c r="L2348" t="b">
        <v>0</v>
      </c>
      <c r="M2348" t="b">
        <v>0</v>
      </c>
      <c r="N2348" t="inlineStr">
        <is>
          <t>ref</t>
        </is>
      </c>
      <c r="O2348" t="n">
        <v>-100</v>
      </c>
      <c r="P2348" t="n">
        <v>0.01373</v>
      </c>
      <c r="Q2348" t="n">
        <v>-100</v>
      </c>
      <c r="R2348" t="n">
        <v>0.1504</v>
      </c>
      <c r="S2348">
        <f>IMAGE("https://mitra.stanford.edu/kundaje/oak/projects/neuro-variants/variant_position/credible/roussos_2024/variant_figures/roussos_2024.infant.GLU/rs55828602_count_position.png",4,220,900)</f>
        <v/>
      </c>
      <c r="T2348">
        <f>IMAGE("https://mitra.stanford.edu/kundaje/oak/projects/neuro-variants/variant_position/credible/roussos_2024/variant_figures/roussos_2024.infant.GLU/rs55828602_profile_position.png",4,220,900)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-0.0218301754</v>
      </c>
      <c r="G2349" t="n">
        <v>0.4203651927667712</v>
      </c>
      <c r="H2349" t="n">
        <v>0.0324502442937646</v>
      </c>
      <c r="I2349" t="n">
        <v>0.0449675364465887</v>
      </c>
      <c r="J2349" t="n">
        <v>0.1192321259287021</v>
      </c>
      <c r="K2349" t="n">
        <v>0.1823631799056851</v>
      </c>
      <c r="L2349" t="b">
        <v>0</v>
      </c>
      <c r="M2349" t="b">
        <v>0</v>
      </c>
      <c r="N2349" t="inlineStr">
        <is>
          <t>ref</t>
        </is>
      </c>
      <c r="O2349" t="n">
        <v>-40</v>
      </c>
      <c r="P2349" t="n">
        <v>0.001513</v>
      </c>
      <c r="Q2349" t="n">
        <v>90</v>
      </c>
      <c r="R2349" t="n">
        <v>0.0672</v>
      </c>
      <c r="S2349">
        <f>IMAGE("https://mitra.stanford.edu/kundaje/oak/projects/neuro-variants/variant_position/credible/roussos_2024/variant_figures/roussos_2024.infant.GLU/rs56161331_count_position.png",4,220,900)</f>
        <v/>
      </c>
      <c r="T2349">
        <f>IMAGE("https://mitra.stanford.edu/kundaje/oak/projects/neuro-variants/variant_position/credible/roussos_2024/variant_figures/roussos_2024.infant.GLU/rs56161331_profile_position.png",4,220,900)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-0.0154853849999999</v>
      </c>
      <c r="G2350" t="n">
        <v>0.4756388950863622</v>
      </c>
      <c r="H2350" t="n">
        <v>0.0107477687861012</v>
      </c>
      <c r="I2350" t="n">
        <v>0.6575415582713349</v>
      </c>
      <c r="J2350" t="n">
        <v>0.1516832381666262</v>
      </c>
      <c r="K2350" t="n">
        <v>0.1426746896297945</v>
      </c>
      <c r="L2350" t="b">
        <v>0</v>
      </c>
      <c r="M2350" t="b">
        <v>0</v>
      </c>
      <c r="N2350" t="inlineStr">
        <is>
          <t>ref</t>
        </is>
      </c>
      <c r="O2350" t="n">
        <v>30</v>
      </c>
      <c r="P2350" t="n">
        <v>0.02469</v>
      </c>
      <c r="Q2350" t="n">
        <v>-95</v>
      </c>
      <c r="R2350" t="n">
        <v>0.2288</v>
      </c>
      <c r="S2350">
        <f>IMAGE("https://mitra.stanford.edu/kundaje/oak/projects/neuro-variants/variant_position/credible/roussos_2024/variant_figures/roussos_2024.infant.GLU/rs12620112_count_position.png",4,220,900)</f>
        <v/>
      </c>
      <c r="T2350">
        <f>IMAGE("https://mitra.stanford.edu/kundaje/oak/projects/neuro-variants/variant_position/credible/roussos_2024/variant_figures/roussos_2024.infant.GLU/rs12620112_profile_position.png",4,220,900)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0.0370284966</v>
      </c>
      <c r="G2351" t="n">
        <v>0.2481483405131507</v>
      </c>
      <c r="H2351" t="n">
        <v>0.0122284260044451</v>
      </c>
      <c r="I2351" t="n">
        <v>0.5352631104953063</v>
      </c>
      <c r="J2351" t="n">
        <v>0.1647016027690204</v>
      </c>
      <c r="K2351" t="n">
        <v>0.1319937318603121</v>
      </c>
      <c r="L2351" t="b">
        <v>0</v>
      </c>
      <c r="M2351" t="b">
        <v>0</v>
      </c>
      <c r="N2351" t="inlineStr">
        <is>
          <t>alt</t>
        </is>
      </c>
      <c r="O2351" t="n">
        <v>30</v>
      </c>
      <c r="P2351" t="n">
        <v>0.02582</v>
      </c>
      <c r="Q2351" t="n">
        <v>-100</v>
      </c>
      <c r="R2351" t="n">
        <v>0.2134</v>
      </c>
      <c r="S2351">
        <f>IMAGE("https://mitra.stanford.edu/kundaje/oak/projects/neuro-variants/variant_position/credible/roussos_2024/variant_figures/roussos_2024.infant.GLU/rs12613751_count_position.png",4,220,900)</f>
        <v/>
      </c>
      <c r="T2351">
        <f>IMAGE("https://mitra.stanford.edu/kundaje/oak/projects/neuro-variants/variant_position/credible/roussos_2024/variant_figures/roussos_2024.infant.GLU/rs12613751_profile_position.png",4,220,900)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-0.004678305094</v>
      </c>
      <c r="G2352" t="n">
        <v>0.6444370586886808</v>
      </c>
      <c r="H2352" t="n">
        <v>0.0134490067584437</v>
      </c>
      <c r="I2352" t="n">
        <v>0.4515705503566527</v>
      </c>
      <c r="J2352" t="n">
        <v>0.0189841045878435</v>
      </c>
      <c r="K2352" t="n">
        <v>0.5608318971231087</v>
      </c>
      <c r="L2352" t="b">
        <v>0</v>
      </c>
      <c r="M2352" t="b">
        <v>0</v>
      </c>
      <c r="N2352" t="inlineStr">
        <is>
          <t>ref</t>
        </is>
      </c>
      <c r="O2352" t="n">
        <v>30</v>
      </c>
      <c r="P2352" t="n">
        <v>0.002281</v>
      </c>
      <c r="Q2352" t="n">
        <v>0</v>
      </c>
      <c r="R2352" t="n">
        <v>0</v>
      </c>
      <c r="S2352">
        <f>IMAGE("https://mitra.stanford.edu/kundaje/oak/projects/neuro-variants/variant_position/credible/roussos_2024/variant_figures/roussos_2024.infant.GLU/rs10933235_count_position.png",4,220,900)</f>
        <v/>
      </c>
      <c r="T2352">
        <f>IMAGE("https://mitra.stanford.edu/kundaje/oak/projects/neuro-variants/variant_position/credible/roussos_2024/variant_figures/roussos_2024.infant.GLU/rs10933235_profile_position.png",4,220,900)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-0.00042277022</v>
      </c>
      <c r="G2353" t="n">
        <v>0.7236841439216223</v>
      </c>
      <c r="H2353" t="n">
        <v>0.0189279164992651</v>
      </c>
      <c r="I2353" t="n">
        <v>0.2129976675271266</v>
      </c>
      <c r="J2353" t="n">
        <v>0.0011408981679489</v>
      </c>
      <c r="K2353" t="n">
        <v>0.8947841711536223</v>
      </c>
      <c r="L2353" t="b">
        <v>0</v>
      </c>
      <c r="M2353" t="b">
        <v>0</v>
      </c>
      <c r="N2353" t="inlineStr">
        <is>
          <t>ref</t>
        </is>
      </c>
      <c r="O2353" t="n">
        <v>60</v>
      </c>
      <c r="P2353" t="n">
        <v>0.0747</v>
      </c>
      <c r="Q2353" t="n">
        <v>65</v>
      </c>
      <c r="R2353" t="n">
        <v>0.03014</v>
      </c>
      <c r="S2353">
        <f>IMAGE("https://mitra.stanford.edu/kundaje/oak/projects/neuro-variants/variant_position/credible/roussos_2024/variant_figures/roussos_2024.infant.GLU/rs10175063_count_position.png",4,220,900)</f>
        <v/>
      </c>
      <c r="T2353">
        <f>IMAGE("https://mitra.stanford.edu/kundaje/oak/projects/neuro-variants/variant_position/credible/roussos_2024/variant_figures/roussos_2024.infant.GLU/rs10175063_profile_position.png",4,220,900)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0.00579254716</v>
      </c>
      <c r="G2354" t="n">
        <v>0.5699029527947206</v>
      </c>
      <c r="H2354" t="n">
        <v>0.0118086049844407</v>
      </c>
      <c r="I2354" t="n">
        <v>0.5773776005332092</v>
      </c>
      <c r="J2354" t="n">
        <v>0.09414338940452829</v>
      </c>
      <c r="K2354" t="n">
        <v>0.2191625541071107</v>
      </c>
      <c r="L2354" t="b">
        <v>0</v>
      </c>
      <c r="M2354" t="b">
        <v>0</v>
      </c>
      <c r="N2354" t="inlineStr">
        <is>
          <t>alt</t>
        </is>
      </c>
      <c r="O2354" t="n">
        <v>-80</v>
      </c>
      <c r="P2354" t="n">
        <v>0.01643</v>
      </c>
      <c r="Q2354" t="n">
        <v>-85</v>
      </c>
      <c r="R2354" t="n">
        <v>0.02309</v>
      </c>
      <c r="S2354">
        <f>IMAGE("https://mitra.stanford.edu/kundaje/oak/projects/neuro-variants/variant_position/credible/roussos_2024/variant_figures/roussos_2024.infant.GLU/rs67681818_count_position.png",4,220,900)</f>
        <v/>
      </c>
      <c r="T2354">
        <f>IMAGE("https://mitra.stanford.edu/kundaje/oak/projects/neuro-variants/variant_position/credible/roussos_2024/variant_figures/roussos_2024.infant.GLU/rs67681818_profile_position.png",4,220,900)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0.0859473628</v>
      </c>
      <c r="G2355" t="n">
        <v>0.0663189254235646</v>
      </c>
      <c r="H2355" t="n">
        <v>0.059983415309001</v>
      </c>
      <c r="I2355" t="n">
        <v>0.0031048193908319</v>
      </c>
      <c r="J2355" t="n">
        <v>0.0734540003086487</v>
      </c>
      <c r="K2355" t="n">
        <v>0.2620134826829042</v>
      </c>
      <c r="L2355" t="b">
        <v>1</v>
      </c>
      <c r="M2355" t="b">
        <v>1</v>
      </c>
      <c r="N2355" t="inlineStr">
        <is>
          <t>alt</t>
        </is>
      </c>
      <c r="O2355" t="n">
        <v>-95</v>
      </c>
      <c r="P2355" t="n">
        <v>0.1095</v>
      </c>
      <c r="Q2355" t="n">
        <v>-95</v>
      </c>
      <c r="R2355" t="n">
        <v>0.06616</v>
      </c>
      <c r="S2355">
        <f>IMAGE("https://mitra.stanford.edu/kundaje/oak/projects/neuro-variants/variant_position/credible/roussos_2024/variant_figures/roussos_2024.infant.GLU/rs67890737_count_position.png",4,220,900)</f>
        <v/>
      </c>
      <c r="T2355">
        <f>IMAGE("https://mitra.stanford.edu/kundaje/oak/projects/neuro-variants/variant_position/credible/roussos_2024/variant_figures/roussos_2024.infant.GLU/rs67890737_profile_position.png",4,220,900)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0.1236786314</v>
      </c>
      <c r="G2356" t="n">
        <v>0.035807991822569</v>
      </c>
      <c r="H2356" t="n">
        <v>0.0199532105937021</v>
      </c>
      <c r="I2356" t="n">
        <v>0.1938022995220111</v>
      </c>
      <c r="J2356" t="n">
        <v>0.171179920192244</v>
      </c>
      <c r="K2356" t="n">
        <v>0.1328420310155605</v>
      </c>
      <c r="L2356" t="b">
        <v>0</v>
      </c>
      <c r="M2356" t="b">
        <v>0</v>
      </c>
      <c r="N2356" t="inlineStr">
        <is>
          <t>alt</t>
        </is>
      </c>
      <c r="O2356" t="n">
        <v>-100</v>
      </c>
      <c r="P2356" t="n">
        <v>0.007812</v>
      </c>
      <c r="Q2356" t="n">
        <v>-15</v>
      </c>
      <c r="R2356" t="n">
        <v>0.04102</v>
      </c>
      <c r="S2356">
        <f>IMAGE("https://mitra.stanford.edu/kundaje/oak/projects/neuro-variants/variant_position/credible/roussos_2024/variant_figures/roussos_2024.infant.GLU/rs10191681_count_position.png",4,220,900)</f>
        <v/>
      </c>
      <c r="T2356">
        <f>IMAGE("https://mitra.stanford.edu/kundaje/oak/projects/neuro-variants/variant_position/credible/roussos_2024/variant_figures/roussos_2024.infant.GLU/rs10191681_profile_position.png",4,220,900)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0.0588333644</v>
      </c>
      <c r="G2357" t="n">
        <v>0.1397443206726173</v>
      </c>
      <c r="H2357" t="n">
        <v>0.0512124629961067</v>
      </c>
      <c r="I2357" t="n">
        <v>0.0068017941504814</v>
      </c>
      <c r="J2357" t="n">
        <v>0.0246786745739544</v>
      </c>
      <c r="K2357" t="n">
        <v>0.5109174424592395</v>
      </c>
      <c r="L2357" t="b">
        <v>1</v>
      </c>
      <c r="M2357" t="b">
        <v>0</v>
      </c>
      <c r="N2357" t="inlineStr">
        <is>
          <t>alt</t>
        </is>
      </c>
      <c r="O2357" t="n">
        <v>45</v>
      </c>
      <c r="P2357" t="n">
        <v>0.01141</v>
      </c>
      <c r="Q2357" t="n">
        <v>-90</v>
      </c>
      <c r="R2357" t="n">
        <v>0.1498</v>
      </c>
      <c r="S2357">
        <f>IMAGE("https://mitra.stanford.edu/kundaje/oak/projects/neuro-variants/variant_position/credible/roussos_2024/variant_figures/roussos_2024.infant.GLU/rs12618505_count_position.png",4,220,900)</f>
        <v/>
      </c>
      <c r="T2357">
        <f>IMAGE("https://mitra.stanford.edu/kundaje/oak/projects/neuro-variants/variant_position/credible/roussos_2024/variant_figures/roussos_2024.infant.GLU/rs12618505_profile_position.png",4,220,900)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0.0217927407</v>
      </c>
      <c r="G2358" t="n">
        <v>0.423587253689538</v>
      </c>
      <c r="H2358" t="n">
        <v>0.0408376284310137</v>
      </c>
      <c r="I2358" t="n">
        <v>0.0186437711931704</v>
      </c>
      <c r="J2358" t="n">
        <v>0.0127019996031658</v>
      </c>
      <c r="K2358" t="n">
        <v>0.6365044577399458</v>
      </c>
      <c r="L2358" t="b">
        <v>1</v>
      </c>
      <c r="M2358" t="b">
        <v>0</v>
      </c>
      <c r="N2358" t="inlineStr">
        <is>
          <t>alt</t>
        </is>
      </c>
      <c r="O2358" t="n">
        <v>-35</v>
      </c>
      <c r="P2358" t="n">
        <v>0.001774</v>
      </c>
      <c r="Q2358" t="n">
        <v>10</v>
      </c>
      <c r="R2358" t="n">
        <v>0.00928</v>
      </c>
      <c r="S2358">
        <f>IMAGE("https://mitra.stanford.edu/kundaje/oak/projects/neuro-variants/variant_position/credible/roussos_2024/variant_figures/roussos_2024.infant.GLU/rs4450589_count_position.png",4,220,900)</f>
        <v/>
      </c>
      <c r="T2358">
        <f>IMAGE("https://mitra.stanford.edu/kundaje/oak/projects/neuro-variants/variant_position/credible/roussos_2024/variant_figures/roussos_2024.infant.GLU/rs4450589_profile_position.png",4,220,900)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0.0041874359</v>
      </c>
      <c r="G2359" t="n">
        <v>0.5410173921255792</v>
      </c>
      <c r="H2359" t="n">
        <v>0.0092249413590293</v>
      </c>
      <c r="I2359" t="n">
        <v>0.803907490923279</v>
      </c>
      <c r="J2359" t="n">
        <v>0.0200268965365197</v>
      </c>
      <c r="K2359" t="n">
        <v>0.5315324887748606</v>
      </c>
      <c r="L2359" t="b">
        <v>0</v>
      </c>
      <c r="M2359" t="b">
        <v>0</v>
      </c>
      <c r="N2359" t="inlineStr">
        <is>
          <t>alt</t>
        </is>
      </c>
      <c r="O2359" t="n">
        <v>90</v>
      </c>
      <c r="P2359" t="n">
        <v>0.06287</v>
      </c>
      <c r="Q2359" t="n">
        <v>-35</v>
      </c>
      <c r="R2359" t="n">
        <v>0.0295</v>
      </c>
      <c r="S2359">
        <f>IMAGE("https://mitra.stanford.edu/kundaje/oak/projects/neuro-variants/variant_position/credible/roussos_2024/variant_figures/roussos_2024.infant.GLU/rs10933236_count_position.png",4,220,900)</f>
        <v/>
      </c>
      <c r="T2359">
        <f>IMAGE("https://mitra.stanford.edu/kundaje/oak/projects/neuro-variants/variant_position/credible/roussos_2024/variant_figures/roussos_2024.infant.GLU/rs10933236_profile_position.png",4,220,900)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-0.0076502138999999</v>
      </c>
      <c r="G2360" t="n">
        <v>0.5017646043150025</v>
      </c>
      <c r="H2360" t="n">
        <v>0.0379501989158268</v>
      </c>
      <c r="I2360" t="n">
        <v>0.0247874443138329</v>
      </c>
      <c r="J2360" t="n">
        <v>0.0093520580259705</v>
      </c>
      <c r="K2360" t="n">
        <v>0.6697243551623875</v>
      </c>
      <c r="L2360" t="b">
        <v>0</v>
      </c>
      <c r="M2360" t="b">
        <v>0</v>
      </c>
      <c r="N2360" t="inlineStr">
        <is>
          <t>ref</t>
        </is>
      </c>
      <c r="O2360" t="n">
        <v>-15</v>
      </c>
      <c r="P2360" t="n">
        <v>0.001343</v>
      </c>
      <c r="Q2360" t="n">
        <v>10</v>
      </c>
      <c r="R2360" t="n">
        <v>0.01257</v>
      </c>
      <c r="S2360">
        <f>IMAGE("https://mitra.stanford.edu/kundaje/oak/projects/neuro-variants/variant_position/credible/roussos_2024/variant_figures/roussos_2024.infant.GLU/rs66499548_count_position.png",4,220,900)</f>
        <v/>
      </c>
      <c r="T2360">
        <f>IMAGE("https://mitra.stanford.edu/kundaje/oak/projects/neuro-variants/variant_position/credible/roussos_2024/variant_figures/roussos_2024.infant.GLU/rs66499548_profile_position.png",4,220,900)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0.0056392907746</v>
      </c>
      <c r="G2361" t="n">
        <v>0.7621206277425238</v>
      </c>
      <c r="H2361" t="n">
        <v>0.0314176289386849</v>
      </c>
      <c r="I2361" t="n">
        <v>0.0495379251676835</v>
      </c>
      <c r="J2361" t="n">
        <v>0.0071738794946978</v>
      </c>
      <c r="K2361" t="n">
        <v>0.7044341838625794</v>
      </c>
      <c r="L2361" t="b">
        <v>0</v>
      </c>
      <c r="M2361" t="b">
        <v>0</v>
      </c>
      <c r="N2361" t="inlineStr">
        <is>
          <t>alt</t>
        </is>
      </c>
      <c r="O2361" t="n">
        <v>-100</v>
      </c>
      <c r="P2361" t="n">
        <v>0.05737</v>
      </c>
      <c r="Q2361" t="n">
        <v>-75</v>
      </c>
      <c r="R2361" t="n">
        <v>0.179</v>
      </c>
      <c r="S2361">
        <f>IMAGE("https://mitra.stanford.edu/kundaje/oak/projects/neuro-variants/variant_position/credible/roussos_2024/variant_figures/roussos_2024.infant.GLU/rs13388454_count_position.png",4,220,900)</f>
        <v/>
      </c>
      <c r="T2361">
        <f>IMAGE("https://mitra.stanford.edu/kundaje/oak/projects/neuro-variants/variant_position/credible/roussos_2024/variant_figures/roussos_2024.infant.GLU/rs13388454_profile_position.png",4,220,900)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0.00306762108</v>
      </c>
      <c r="G2362" t="n">
        <v>0.6542855640380489</v>
      </c>
      <c r="H2362" t="n">
        <v>0.022595353134436</v>
      </c>
      <c r="I2362" t="n">
        <v>0.1329879387789391</v>
      </c>
      <c r="J2362" t="n">
        <v>0.0009380718269802</v>
      </c>
      <c r="K2362" t="n">
        <v>0.8951042994692828</v>
      </c>
      <c r="L2362" t="b">
        <v>0</v>
      </c>
      <c r="M2362" t="b">
        <v>0</v>
      </c>
      <c r="N2362" t="inlineStr">
        <is>
          <t>alt</t>
        </is>
      </c>
      <c r="O2362" t="n">
        <v>100</v>
      </c>
      <c r="P2362" t="n">
        <v>0.01816</v>
      </c>
      <c r="Q2362" t="n">
        <v>80</v>
      </c>
      <c r="R2362" t="n">
        <v>0.03305</v>
      </c>
      <c r="S2362">
        <f>IMAGE("https://mitra.stanford.edu/kundaje/oak/projects/neuro-variants/variant_position/credible/roussos_2024/variant_figures/roussos_2024.infant.GLU/rs4973071_count_position.png",4,220,900)</f>
        <v/>
      </c>
      <c r="T2362">
        <f>IMAGE("https://mitra.stanford.edu/kundaje/oak/projects/neuro-variants/variant_position/credible/roussos_2024/variant_figures/roussos_2024.infant.GLU/rs4973071_profile_position.png",4,220,900)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-0.1397725402</v>
      </c>
      <c r="G2363" t="n">
        <v>0.0263978629321608</v>
      </c>
      <c r="H2363" t="n">
        <v>0.0213568828755468</v>
      </c>
      <c r="I2363" t="n">
        <v>0.1582457725097341</v>
      </c>
      <c r="J2363" t="n">
        <v>0.2413115368504596</v>
      </c>
      <c r="K2363" t="n">
        <v>0.0902001218903706</v>
      </c>
      <c r="L2363" t="b">
        <v>0</v>
      </c>
      <c r="M2363" t="b">
        <v>0</v>
      </c>
      <c r="N2363" t="inlineStr">
        <is>
          <t>ref</t>
        </is>
      </c>
      <c r="O2363" t="n">
        <v>0</v>
      </c>
      <c r="P2363" t="n">
        <v>0</v>
      </c>
      <c r="Q2363" t="n">
        <v>25</v>
      </c>
      <c r="R2363" t="n">
        <v>0.02246</v>
      </c>
      <c r="S2363">
        <f>IMAGE("https://mitra.stanford.edu/kundaje/oak/projects/neuro-variants/variant_position/credible/roussos_2024/variant_figures/roussos_2024.infant.GLU/rs4246653_count_position.png",4,220,900)</f>
        <v/>
      </c>
      <c r="T2363">
        <f>IMAGE("https://mitra.stanford.edu/kundaje/oak/projects/neuro-variants/variant_position/credible/roussos_2024/variant_figures/roussos_2024.infant.GLU/rs4246653_profile_position.png",4,220,900)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0.0068173199</v>
      </c>
      <c r="G2364" t="n">
        <v>0.7373740443987213</v>
      </c>
      <c r="H2364" t="n">
        <v>0.005320817285011</v>
      </c>
      <c r="I2364" t="n">
        <v>0.9954604076788548</v>
      </c>
      <c r="J2364" t="n">
        <v>0.0062953327895235</v>
      </c>
      <c r="K2364" t="n">
        <v>0.7508169821751263</v>
      </c>
      <c r="L2364" t="b">
        <v>0</v>
      </c>
      <c r="M2364" t="b">
        <v>0</v>
      </c>
      <c r="N2364" t="inlineStr">
        <is>
          <t>alt</t>
        </is>
      </c>
      <c r="O2364" t="n">
        <v>-55</v>
      </c>
      <c r="P2364" t="n">
        <v>0.0198</v>
      </c>
      <c r="Q2364" t="n">
        <v>55</v>
      </c>
      <c r="R2364" t="n">
        <v>0.03162</v>
      </c>
      <c r="S2364">
        <f>IMAGE("https://mitra.stanford.edu/kundaje/oak/projects/neuro-variants/variant_position/credible/roussos_2024/variant_figures/roussos_2024.infant.GLU/rs6436754_count_position.png",4,220,900)</f>
        <v/>
      </c>
      <c r="T2364">
        <f>IMAGE("https://mitra.stanford.edu/kundaje/oak/projects/neuro-variants/variant_position/credible/roussos_2024/variant_figures/roussos_2024.infant.GLU/rs6436754_profile_position.png",4,220,900)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-0.0718864459999999</v>
      </c>
      <c r="G2365" t="n">
        <v>0.0926179845751835</v>
      </c>
      <c r="H2365" t="n">
        <v>0.0106589406574863</v>
      </c>
      <c r="I2365" t="n">
        <v>0.6666077437098905</v>
      </c>
      <c r="J2365" t="n">
        <v>0.0314160365087413</v>
      </c>
      <c r="K2365" t="n">
        <v>0.444770689080872</v>
      </c>
      <c r="L2365" t="b">
        <v>0</v>
      </c>
      <c r="M2365" t="b">
        <v>0</v>
      </c>
      <c r="N2365" t="inlineStr">
        <is>
          <t>ref</t>
        </is>
      </c>
      <c r="O2365" t="n">
        <v>0</v>
      </c>
      <c r="P2365" t="n">
        <v>0</v>
      </c>
      <c r="Q2365" t="n">
        <v>95</v>
      </c>
      <c r="R2365" t="n">
        <v>0.139</v>
      </c>
      <c r="S2365">
        <f>IMAGE("https://mitra.stanford.edu/kundaje/oak/projects/neuro-variants/variant_position/credible/roussos_2024/variant_figures/roussos_2024.infant.GLU/rs4246655_count_position.png",4,220,900)</f>
        <v/>
      </c>
      <c r="T2365">
        <f>IMAGE("https://mitra.stanford.edu/kundaje/oak/projects/neuro-variants/variant_position/credible/roussos_2024/variant_figures/roussos_2024.infant.GLU/rs4246655_profile_position.png",4,220,900)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0.0509044092</v>
      </c>
      <c r="G2366" t="n">
        <v>0.1593118867524488</v>
      </c>
      <c r="H2366" t="n">
        <v>0.049702414347587</v>
      </c>
      <c r="I2366" t="n">
        <v>0.0078691616604272</v>
      </c>
      <c r="J2366" t="n">
        <v>0.0114916554597764</v>
      </c>
      <c r="K2366" t="n">
        <v>0.6413921462972986</v>
      </c>
      <c r="L2366" t="b">
        <v>1</v>
      </c>
      <c r="M2366" t="b">
        <v>0</v>
      </c>
      <c r="N2366" t="inlineStr">
        <is>
          <t>alt</t>
        </is>
      </c>
      <c r="O2366" t="n">
        <v>20</v>
      </c>
      <c r="P2366" t="n">
        <v>0.000763</v>
      </c>
      <c r="Q2366" t="n">
        <v>80</v>
      </c>
      <c r="R2366" t="n">
        <v>0.04993</v>
      </c>
      <c r="S2366">
        <f>IMAGE("https://mitra.stanford.edu/kundaje/oak/projects/neuro-variants/variant_position/credible/roussos_2024/variant_figures/roussos_2024.infant.GLU/rs4321353_count_position.png",4,220,900)</f>
        <v/>
      </c>
      <c r="T2366">
        <f>IMAGE("https://mitra.stanford.edu/kundaje/oak/projects/neuro-variants/variant_position/credible/roussos_2024/variant_figures/roussos_2024.infant.GLU/rs4321353_profile_position.png",4,220,900)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-0.0239324926</v>
      </c>
      <c r="G2367" t="n">
        <v>0.3961657223037158</v>
      </c>
      <c r="H2367" t="n">
        <v>0.0653928477692847</v>
      </c>
      <c r="I2367" t="n">
        <v>0.0019615605391234</v>
      </c>
      <c r="J2367" t="n">
        <v>0.0325029211402367</v>
      </c>
      <c r="K2367" t="n">
        <v>0.4365995996249306</v>
      </c>
      <c r="L2367" t="b">
        <v>1</v>
      </c>
      <c r="M2367" t="b">
        <v>0</v>
      </c>
      <c r="N2367" t="inlineStr">
        <is>
          <t>ref</t>
        </is>
      </c>
      <c r="O2367" t="n">
        <v>-100</v>
      </c>
      <c r="P2367" t="n">
        <v>0.00784</v>
      </c>
      <c r="Q2367" t="n">
        <v>85</v>
      </c>
      <c r="R2367" t="n">
        <v>0.07434</v>
      </c>
      <c r="S2367">
        <f>IMAGE("https://mitra.stanford.edu/kundaje/oak/projects/neuro-variants/variant_position/credible/roussos_2024/variant_figures/roussos_2024.infant.GLU/rs55784527_count_position.png",4,220,900)</f>
        <v/>
      </c>
      <c r="T2367">
        <f>IMAGE("https://mitra.stanford.edu/kundaje/oak/projects/neuro-variants/variant_position/credible/roussos_2024/variant_figures/roussos_2024.infant.GLU/rs55784527_profile_position.png",4,220,900)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-0.0070360979399999</v>
      </c>
      <c r="G2368" t="n">
        <v>0.5716922005310685</v>
      </c>
      <c r="H2368" t="n">
        <v>0.0185494465370882</v>
      </c>
      <c r="I2368" t="n">
        <v>0.2243435546578751</v>
      </c>
      <c r="J2368" t="n">
        <v>0.1009479926806146</v>
      </c>
      <c r="K2368" t="n">
        <v>0.2035737709709512</v>
      </c>
      <c r="L2368" t="b">
        <v>0</v>
      </c>
      <c r="M2368" t="b">
        <v>0</v>
      </c>
      <c r="N2368" t="inlineStr">
        <is>
          <t>ref</t>
        </is>
      </c>
      <c r="O2368" t="n">
        <v>-20</v>
      </c>
      <c r="P2368" t="n">
        <v>0.00464</v>
      </c>
      <c r="Q2368" t="n">
        <v>-85</v>
      </c>
      <c r="R2368" t="n">
        <v>0.0315</v>
      </c>
      <c r="S2368">
        <f>IMAGE("https://mitra.stanford.edu/kundaje/oak/projects/neuro-variants/variant_position/credible/roussos_2024/variant_figures/roussos_2024.infant.GLU/rs62193248_count_position.png",4,220,900)</f>
        <v/>
      </c>
      <c r="T2368">
        <f>IMAGE("https://mitra.stanford.edu/kundaje/oak/projects/neuro-variants/variant_position/credible/roussos_2024/variant_figures/roussos_2024.infant.GLU/rs62193248_profile_position.png",4,220,900)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0.0252325606</v>
      </c>
      <c r="G2369" t="n">
        <v>0.3760204317581708</v>
      </c>
      <c r="H2369" t="n">
        <v>0.0112683093159952</v>
      </c>
      <c r="I2369" t="n">
        <v>0.6172007164695971</v>
      </c>
      <c r="J2369" t="n">
        <v>0.5903756696576202</v>
      </c>
      <c r="K2369" t="n">
        <v>0.0221661562578556</v>
      </c>
      <c r="L2369" t="b">
        <v>0</v>
      </c>
      <c r="M2369" t="b">
        <v>0</v>
      </c>
      <c r="N2369" t="inlineStr">
        <is>
          <t>alt</t>
        </is>
      </c>
      <c r="O2369" t="n">
        <v>25</v>
      </c>
      <c r="P2369" t="n">
        <v>0.00557</v>
      </c>
      <c r="Q2369" t="n">
        <v>55</v>
      </c>
      <c r="R2369" t="n">
        <v>0.1719</v>
      </c>
      <c r="S2369">
        <f>IMAGE("https://mitra.stanford.edu/kundaje/oak/projects/neuro-variants/variant_position/credible/roussos_2024/variant_figures/roussos_2024.infant.GLU/rs11886634_count_position.png",4,220,900)</f>
        <v/>
      </c>
      <c r="T2369">
        <f>IMAGE("https://mitra.stanford.edu/kundaje/oak/projects/neuro-variants/variant_position/credible/roussos_2024/variant_figures/roussos_2024.infant.GLU/rs11886634_profile_position.png",4,220,900)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-0.0160866923599999</v>
      </c>
      <c r="G2370" t="n">
        <v>0.534146488509925</v>
      </c>
      <c r="H2370" t="n">
        <v>0.0099416398711961</v>
      </c>
      <c r="I2370" t="n">
        <v>0.7254760335827654</v>
      </c>
      <c r="J2370" t="n">
        <v>0.0253257346943274</v>
      </c>
      <c r="K2370" t="n">
        <v>0.4889198982845829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0.3513</v>
      </c>
      <c r="Q2370" t="n">
        <v>-90</v>
      </c>
      <c r="R2370" t="n">
        <v>0.04346</v>
      </c>
      <c r="S2370">
        <f>IMAGE("https://mitra.stanford.edu/kundaje/oak/projects/neuro-variants/variant_position/credible/roussos_2024/variant_figures/roussos_2024.infant.GLU/rs11885896_count_position.png",4,220,900)</f>
        <v/>
      </c>
      <c r="T2370">
        <f>IMAGE("https://mitra.stanford.edu/kundaje/oak/projects/neuro-variants/variant_position/credible/roussos_2024/variant_figures/roussos_2024.infant.GLU/rs11885896_profile_position.png",4,220,900)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0.0139587660799999</v>
      </c>
      <c r="G2371" t="n">
        <v>0.5499783070741069</v>
      </c>
      <c r="H2371" t="n">
        <v>0.0143815766384777</v>
      </c>
      <c r="I2371" t="n">
        <v>0.3943454709875252</v>
      </c>
      <c r="J2371" t="n">
        <v>0.1518331532882117</v>
      </c>
      <c r="K2371" t="n">
        <v>0.148846694812456</v>
      </c>
      <c r="L2371" t="b">
        <v>0</v>
      </c>
      <c r="M2371" t="b">
        <v>0</v>
      </c>
      <c r="N2371" t="inlineStr">
        <is>
          <t>alt</t>
        </is>
      </c>
      <c r="O2371" t="n">
        <v>-80</v>
      </c>
      <c r="P2371" t="n">
        <v>0.004883</v>
      </c>
      <c r="Q2371" t="n">
        <v>-55</v>
      </c>
      <c r="R2371" t="n">
        <v>0.1178</v>
      </c>
      <c r="S2371">
        <f>IMAGE("https://mitra.stanford.edu/kundaje/oak/projects/neuro-variants/variant_position/credible/roussos_2024/variant_figures/roussos_2024.infant.GLU/rs62190392_count_position.png",4,220,900)</f>
        <v/>
      </c>
      <c r="T2371">
        <f>IMAGE("https://mitra.stanford.edu/kundaje/oak/projects/neuro-variants/variant_position/credible/roussos_2024/variant_figures/roussos_2024.infant.GLU/rs62190392_profile_position.png",4,220,900)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-0.0716598776</v>
      </c>
      <c r="G2372" t="n">
        <v>0.095767028546816</v>
      </c>
      <c r="H2372" t="n">
        <v>0.06610408082171081</v>
      </c>
      <c r="I2372" t="n">
        <v>0.0018758006353496</v>
      </c>
      <c r="J2372" t="n">
        <v>0.0441544125752331</v>
      </c>
      <c r="K2372" t="n">
        <v>0.3669601064656163</v>
      </c>
      <c r="L2372" t="b">
        <v>1</v>
      </c>
      <c r="M2372" t="b">
        <v>0</v>
      </c>
      <c r="N2372" t="inlineStr">
        <is>
          <t>ref</t>
        </is>
      </c>
      <c r="O2372" t="n">
        <v>80</v>
      </c>
      <c r="P2372" t="n">
        <v>0.1646</v>
      </c>
      <c r="Q2372" t="n">
        <v>60</v>
      </c>
      <c r="R2372" t="n">
        <v>0.1494</v>
      </c>
      <c r="S2372">
        <f>IMAGE("https://mitra.stanford.edu/kundaje/oak/projects/neuro-variants/variant_position/credible/roussos_2024/variant_figures/roussos_2024.infant.GLU/rs370430952_count_position.png",4,220,900)</f>
        <v/>
      </c>
      <c r="T2372">
        <f>IMAGE("https://mitra.stanford.edu/kundaje/oak/projects/neuro-variants/variant_position/credible/roussos_2024/variant_figures/roussos_2024.infant.GLU/rs370430952_profile_position.png",4,220,900)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0.00502931513</v>
      </c>
      <c r="G2373" t="n">
        <v>0.7772258587875306</v>
      </c>
      <c r="H2373" t="n">
        <v>0.0403373152859526</v>
      </c>
      <c r="I2373" t="n">
        <v>0.019804381296932</v>
      </c>
      <c r="J2373" t="n">
        <v>0.1830915584558742</v>
      </c>
      <c r="K2373" t="n">
        <v>0.1195568239275655</v>
      </c>
      <c r="L2373" t="b">
        <v>1</v>
      </c>
      <c r="M2373" t="b">
        <v>0</v>
      </c>
      <c r="N2373" t="inlineStr">
        <is>
          <t>alt</t>
        </is>
      </c>
      <c r="O2373" t="n">
        <v>-10</v>
      </c>
      <c r="P2373" t="n">
        <v>0.005493</v>
      </c>
      <c r="Q2373" t="n">
        <v>100</v>
      </c>
      <c r="R2373" t="n">
        <v>0.0448</v>
      </c>
      <c r="S2373">
        <f>IMAGE("https://mitra.stanford.edu/kundaje/oak/projects/neuro-variants/variant_position/credible/roussos_2024/variant_figures/roussos_2024.infant.GLU/rs7592697_count_position.png",4,220,900)</f>
        <v/>
      </c>
      <c r="T2373">
        <f>IMAGE("https://mitra.stanford.edu/kundaje/oak/projects/neuro-variants/variant_position/credible/roussos_2024/variant_figures/roussos_2024.infant.GLU/rs7592697_profile_position.png",4,220,900)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-0.06992050479999989</v>
      </c>
      <c r="G2374" t="n">
        <v>0.1106537370667395</v>
      </c>
      <c r="H2374" t="n">
        <v>0.0174699062838856</v>
      </c>
      <c r="I2374" t="n">
        <v>0.2589744699066132</v>
      </c>
      <c r="J2374" t="n">
        <v>0.0217498181176833</v>
      </c>
      <c r="K2374" t="n">
        <v>0.5208723585922739</v>
      </c>
      <c r="L2374" t="b">
        <v>0</v>
      </c>
      <c r="M2374" t="b">
        <v>0</v>
      </c>
      <c r="N2374" t="inlineStr">
        <is>
          <t>ref</t>
        </is>
      </c>
      <c r="O2374" t="n">
        <v>-20</v>
      </c>
      <c r="P2374" t="n">
        <v>0.004925</v>
      </c>
      <c r="Q2374" t="n">
        <v>35</v>
      </c>
      <c r="R2374" t="n">
        <v>0.0479</v>
      </c>
      <c r="S2374">
        <f>IMAGE("https://mitra.stanford.edu/kundaje/oak/projects/neuro-variants/variant_position/credible/roussos_2024/variant_figures/roussos_2024.infant.GLU/rs13035379_count_position.png",4,220,900)</f>
        <v/>
      </c>
      <c r="T2374">
        <f>IMAGE("https://mitra.stanford.edu/kundaje/oak/projects/neuro-variants/variant_position/credible/roussos_2024/variant_figures/roussos_2024.infant.GLU/rs13035379_profile_position.png",4,220,900)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0.1173496009999999</v>
      </c>
      <c r="G2375" t="n">
        <v>0.0420688403103113</v>
      </c>
      <c r="H2375" t="n">
        <v>0.0219410524215495</v>
      </c>
      <c r="I2375" t="n">
        <v>0.1520667497351877</v>
      </c>
      <c r="J2375" t="n">
        <v>0.2436771092837143</v>
      </c>
      <c r="K2375" t="n">
        <v>0.08937792708009761</v>
      </c>
      <c r="L2375" t="b">
        <v>0</v>
      </c>
      <c r="M2375" t="b">
        <v>0</v>
      </c>
      <c r="N2375" t="inlineStr">
        <is>
          <t>alt</t>
        </is>
      </c>
      <c r="O2375" t="n">
        <v>-85</v>
      </c>
      <c r="P2375" t="n">
        <v>0.01358</v>
      </c>
      <c r="Q2375" t="n">
        <v>25</v>
      </c>
      <c r="R2375" t="n">
        <v>0.0725</v>
      </c>
      <c r="S2375">
        <f>IMAGE("https://mitra.stanford.edu/kundaje/oak/projects/neuro-variants/variant_position/credible/roussos_2024/variant_figures/roussos_2024.infant.GLU/rs6749080_count_position.png",4,220,900)</f>
        <v/>
      </c>
      <c r="T2375">
        <f>IMAGE("https://mitra.stanford.edu/kundaje/oak/projects/neuro-variants/variant_position/credible/roussos_2024/variant_figures/roussos_2024.infant.GLU/rs6749080_profile_position.png",4,220,900)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-0.0330531023</v>
      </c>
      <c r="G2376" t="n">
        <v>0.2901604285750764</v>
      </c>
      <c r="H2376" t="n">
        <v>0.0148992235687778</v>
      </c>
      <c r="I2376" t="n">
        <v>0.3649722785008846</v>
      </c>
      <c r="J2376" t="n">
        <v>0.0419310390440705</v>
      </c>
      <c r="K2376" t="n">
        <v>0.3769939935968405</v>
      </c>
      <c r="L2376" t="b">
        <v>0</v>
      </c>
      <c r="M2376" t="b">
        <v>0</v>
      </c>
      <c r="N2376" t="inlineStr">
        <is>
          <t>ref</t>
        </is>
      </c>
      <c r="O2376" t="n">
        <v>95</v>
      </c>
      <c r="P2376" t="n">
        <v>0.04926</v>
      </c>
      <c r="Q2376" t="n">
        <v>100</v>
      </c>
      <c r="R2376" t="n">
        <v>0.1641</v>
      </c>
      <c r="S2376">
        <f>IMAGE("https://mitra.stanford.edu/kundaje/oak/projects/neuro-variants/variant_position/credible/roussos_2024/variant_figures/roussos_2024.infant.GLU/rs6704763_count_position.png",4,220,900)</f>
        <v/>
      </c>
      <c r="T2376">
        <f>IMAGE("https://mitra.stanford.edu/kundaje/oak/projects/neuro-variants/variant_position/credible/roussos_2024/variant_figures/roussos_2024.infant.GLU/rs6704763_profile_position.png",4,220,900)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0.0202109088</v>
      </c>
      <c r="G2377" t="n">
        <v>0.4280744944952306</v>
      </c>
      <c r="H2377" t="n">
        <v>0.0325750303485179</v>
      </c>
      <c r="I2377" t="n">
        <v>0.0439148575620395</v>
      </c>
      <c r="J2377" t="n">
        <v>0.0314105249233889</v>
      </c>
      <c r="K2377" t="n">
        <v>0.4454212986346748</v>
      </c>
      <c r="L2377" t="b">
        <v>0</v>
      </c>
      <c r="M2377" t="b">
        <v>0</v>
      </c>
      <c r="N2377" t="inlineStr">
        <is>
          <t>alt</t>
        </is>
      </c>
      <c r="O2377" t="n">
        <v>30</v>
      </c>
      <c r="P2377" t="n">
        <v>0.000702</v>
      </c>
      <c r="Q2377" t="n">
        <v>95</v>
      </c>
      <c r="R2377" t="n">
        <v>0.1583</v>
      </c>
      <c r="S2377">
        <f>IMAGE("https://mitra.stanford.edu/kundaje/oak/projects/neuro-variants/variant_position/credible/roussos_2024/variant_figures/roussos_2024.infant.GLU/rs6716488_count_position.png",4,220,900)</f>
        <v/>
      </c>
      <c r="T2377">
        <f>IMAGE("https://mitra.stanford.edu/kundaje/oak/projects/neuro-variants/variant_position/credible/roussos_2024/variant_figures/roussos_2024.infant.GLU/rs6716488_profile_position.png",4,220,900)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0.37419791</v>
      </c>
      <c r="G2378" t="n">
        <v>0.0015257648641798</v>
      </c>
      <c r="H2378" t="n">
        <v>0.0542300067086848</v>
      </c>
      <c r="I2378" t="n">
        <v>0.0054318250795073</v>
      </c>
      <c r="J2378" t="n">
        <v>0.0771732181044555</v>
      </c>
      <c r="K2378" t="n">
        <v>0.2516345457915569</v>
      </c>
      <c r="L2378" t="b">
        <v>1</v>
      </c>
      <c r="M2378" t="b">
        <v>1</v>
      </c>
      <c r="N2378" t="inlineStr">
        <is>
          <t>alt</t>
        </is>
      </c>
      <c r="O2378" t="n">
        <v>-80</v>
      </c>
      <c r="P2378" t="n">
        <v>0.0227</v>
      </c>
      <c r="Q2378" t="n">
        <v>-60</v>
      </c>
      <c r="R2378" t="n">
        <v>0.05164</v>
      </c>
      <c r="S2378">
        <f>IMAGE("https://mitra.stanford.edu/kundaje/oak/projects/neuro-variants/variant_position/credible/roussos_2024/variant_figures/roussos_2024.infant.GLU/rs2293782_count_position.png",4,220,900)</f>
        <v/>
      </c>
      <c r="T2378">
        <f>IMAGE("https://mitra.stanford.edu/kundaje/oak/projects/neuro-variants/variant_position/credible/roussos_2024/variant_figures/roussos_2024.infant.GLU/rs2293782_profile_position.png",4,220,900)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-0.0682869667999999</v>
      </c>
      <c r="G2379" t="n">
        <v>0.1005716522242504</v>
      </c>
      <c r="H2379" t="n">
        <v>0.0814224435694985</v>
      </c>
      <c r="I2379" t="n">
        <v>0.0006018471605846</v>
      </c>
      <c r="J2379" t="n">
        <v>0.1352465883286668</v>
      </c>
      <c r="K2379" t="n">
        <v>0.1624532769605743</v>
      </c>
      <c r="L2379" t="b">
        <v>1</v>
      </c>
      <c r="M2379" t="b">
        <v>1</v>
      </c>
      <c r="N2379" t="inlineStr">
        <is>
          <t>ref</t>
        </is>
      </c>
      <c r="O2379" t="n">
        <v>-100</v>
      </c>
      <c r="P2379" t="n">
        <v>0.01587</v>
      </c>
      <c r="Q2379" t="n">
        <v>-100</v>
      </c>
      <c r="R2379" t="n">
        <v>0.1736</v>
      </c>
      <c r="S2379">
        <f>IMAGE("https://mitra.stanford.edu/kundaje/oak/projects/neuro-variants/variant_position/credible/roussos_2024/variant_figures/roussos_2024.infant.GLU/rs56054779_count_position.png",4,220,900)</f>
        <v/>
      </c>
      <c r="T2379">
        <f>IMAGE("https://mitra.stanford.edu/kundaje/oak/projects/neuro-variants/variant_position/credible/roussos_2024/variant_figures/roussos_2024.infant.GLU/rs56054779_profile_position.png",4,220,900)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-0.019921103956</v>
      </c>
      <c r="G2380" t="n">
        <v>0.4760265640342693</v>
      </c>
      <c r="H2380" t="n">
        <v>0.0146797889006541</v>
      </c>
      <c r="I2380" t="n">
        <v>0.3776419706726551</v>
      </c>
      <c r="J2380" t="n">
        <v>0.0595659075376441</v>
      </c>
      <c r="K2380" t="n">
        <v>0.3089319167712431</v>
      </c>
      <c r="L2380" t="b">
        <v>0</v>
      </c>
      <c r="M2380" t="b">
        <v>0</v>
      </c>
      <c r="N2380" t="inlineStr">
        <is>
          <t>ref</t>
        </is>
      </c>
      <c r="O2380" t="n">
        <v>100</v>
      </c>
      <c r="P2380" t="n">
        <v>0.004196</v>
      </c>
      <c r="Q2380" t="n">
        <v>100</v>
      </c>
      <c r="R2380" t="n">
        <v>0.1404</v>
      </c>
      <c r="S2380">
        <f>IMAGE("https://mitra.stanford.edu/kundaje/oak/projects/neuro-variants/variant_position/credible/roussos_2024/variant_figures/roussos_2024.infant.GLU/rs12993791_count_position.png",4,220,900)</f>
        <v/>
      </c>
      <c r="T2380">
        <f>IMAGE("https://mitra.stanford.edu/kundaje/oak/projects/neuro-variants/variant_position/credible/roussos_2024/variant_figures/roussos_2024.infant.GLU/rs12993791_profile_position.png",4,220,900)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-0.051839387</v>
      </c>
      <c r="G2381" t="n">
        <v>0.1681509976156146</v>
      </c>
      <c r="H2381" t="n">
        <v>0.0124211833593256</v>
      </c>
      <c r="I2381" t="n">
        <v>0.5168822031128882</v>
      </c>
      <c r="J2381" t="n">
        <v>0.0245210432328754</v>
      </c>
      <c r="K2381" t="n">
        <v>0.4921974455577856</v>
      </c>
      <c r="L2381" t="b">
        <v>0</v>
      </c>
      <c r="M2381" t="b">
        <v>0</v>
      </c>
      <c r="N2381" t="inlineStr">
        <is>
          <t>ref</t>
        </is>
      </c>
      <c r="O2381" t="n">
        <v>50</v>
      </c>
      <c r="P2381" t="n">
        <v>0.01572</v>
      </c>
      <c r="Q2381" t="n">
        <v>-75</v>
      </c>
      <c r="R2381" t="n">
        <v>0.0635</v>
      </c>
      <c r="S2381">
        <f>IMAGE("https://mitra.stanford.edu/kundaje/oak/projects/neuro-variants/variant_position/credible/roussos_2024/variant_figures/roussos_2024.infant.GLU/rs12328151_count_position.png",4,220,900)</f>
        <v/>
      </c>
      <c r="T2381">
        <f>IMAGE("https://mitra.stanford.edu/kundaje/oak/projects/neuro-variants/variant_position/credible/roussos_2024/variant_figures/roussos_2024.infant.GLU/rs12328151_profile_position.png",4,220,900)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-0.068953001</v>
      </c>
      <c r="G2382" t="n">
        <v>0.1038021332135514</v>
      </c>
      <c r="H2382" t="n">
        <v>0.0145190187178744</v>
      </c>
      <c r="I2382" t="n">
        <v>0.3883958317233685</v>
      </c>
      <c r="J2382" t="n">
        <v>0.1827983421151259</v>
      </c>
      <c r="K2382" t="n">
        <v>0.1202349087777846</v>
      </c>
      <c r="L2382" t="b">
        <v>0</v>
      </c>
      <c r="M2382" t="b">
        <v>0</v>
      </c>
      <c r="N2382" t="inlineStr">
        <is>
          <t>ref</t>
        </is>
      </c>
      <c r="O2382" t="n">
        <v>-5</v>
      </c>
      <c r="P2382" t="n">
        <v>0.001068</v>
      </c>
      <c r="Q2382" t="n">
        <v>35</v>
      </c>
      <c r="R2382" t="n">
        <v>0.03198</v>
      </c>
      <c r="S2382">
        <f>IMAGE("https://mitra.stanford.edu/kundaje/oak/projects/neuro-variants/variant_position/credible/roussos_2024/variant_figures/roussos_2024.infant.GLU/rs2675968_count_position.png",4,220,900)</f>
        <v/>
      </c>
      <c r="T2382">
        <f>IMAGE("https://mitra.stanford.edu/kundaje/oak/projects/neuro-variants/variant_position/credible/roussos_2024/variant_figures/roussos_2024.infant.GLU/rs2675968_profile_position.png",4,220,900)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-0.030733692</v>
      </c>
      <c r="G2383" t="n">
        <v>0.3162251681549373</v>
      </c>
      <c r="H2383" t="n">
        <v>0.0177890998921157</v>
      </c>
      <c r="I2383" t="n">
        <v>0.2545289983427322</v>
      </c>
      <c r="J2383" t="n">
        <v>0.060647280583787</v>
      </c>
      <c r="K2383" t="n">
        <v>0.3007915349293469</v>
      </c>
      <c r="L2383" t="b">
        <v>0</v>
      </c>
      <c r="M2383" t="b">
        <v>0</v>
      </c>
      <c r="N2383" t="inlineStr">
        <is>
          <t>ref</t>
        </is>
      </c>
      <c r="O2383" t="n">
        <v>-100</v>
      </c>
      <c r="P2383" t="n">
        <v>0.11334</v>
      </c>
      <c r="Q2383" t="n">
        <v>-75</v>
      </c>
      <c r="R2383" t="n">
        <v>0.1263</v>
      </c>
      <c r="S2383">
        <f>IMAGE("https://mitra.stanford.edu/kundaje/oak/projects/neuro-variants/variant_position/credible/roussos_2024/variant_figures/roussos_2024.infant.GLU/rs938575_count_position.png",4,220,900)</f>
        <v/>
      </c>
      <c r="T2383">
        <f>IMAGE("https://mitra.stanford.edu/kundaje/oak/projects/neuro-variants/variant_position/credible/roussos_2024/variant_figures/roussos_2024.infant.GLU/rs938575_profile_position.png",4,220,900)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-0.01780308514</v>
      </c>
      <c r="G2384" t="n">
        <v>0.4690205661881702</v>
      </c>
      <c r="H2384" t="n">
        <v>0.0141395670526534</v>
      </c>
      <c r="I2384" t="n">
        <v>0.4199311107408684</v>
      </c>
      <c r="J2384" t="n">
        <v>0.0535615864547277</v>
      </c>
      <c r="K2384" t="n">
        <v>0.3337614066261617</v>
      </c>
      <c r="L2384" t="b">
        <v>0</v>
      </c>
      <c r="M2384" t="b">
        <v>0</v>
      </c>
      <c r="N2384" t="inlineStr">
        <is>
          <t>ref</t>
        </is>
      </c>
      <c r="O2384" t="n">
        <v>-35</v>
      </c>
      <c r="P2384" t="n">
        <v>0.001402</v>
      </c>
      <c r="Q2384" t="n">
        <v>65</v>
      </c>
      <c r="R2384" t="n">
        <v>0.09429999999999999</v>
      </c>
      <c r="S2384">
        <f>IMAGE("https://mitra.stanford.edu/kundaje/oak/projects/neuro-variants/variant_position/credible/roussos_2024/variant_figures/roussos_2024.infant.GLU/rs79340715_count_position.png",4,220,900)</f>
        <v/>
      </c>
      <c r="T2384">
        <f>IMAGE("https://mitra.stanford.edu/kundaje/oak/projects/neuro-variants/variant_position/credible/roussos_2024/variant_figures/roussos_2024.infant.GLU/rs79340715_profile_position.png",4,220,900)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-0.00306506257</v>
      </c>
      <c r="G2385" t="n">
        <v>0.8367351488751789</v>
      </c>
      <c r="H2385" t="n">
        <v>0.009628961512100701</v>
      </c>
      <c r="I2385" t="n">
        <v>0.7617615546871986</v>
      </c>
      <c r="J2385" t="n">
        <v>0.0275976101765911</v>
      </c>
      <c r="K2385" t="n">
        <v>0.487512636227527</v>
      </c>
      <c r="L2385" t="b">
        <v>0</v>
      </c>
      <c r="M2385" t="b">
        <v>0</v>
      </c>
      <c r="N2385" t="inlineStr">
        <is>
          <t>ref</t>
        </is>
      </c>
      <c r="O2385" t="n">
        <v>10</v>
      </c>
      <c r="P2385" t="n">
        <v>0.002605</v>
      </c>
      <c r="Q2385" t="n">
        <v>30</v>
      </c>
      <c r="R2385" t="n">
        <v>0.02617</v>
      </c>
      <c r="S2385">
        <f>IMAGE("https://mitra.stanford.edu/kundaje/oak/projects/neuro-variants/variant_position/credible/roussos_2024/variant_figures/roussos_2024.infant.GLU/rs4663623_count_position.png",4,220,900)</f>
        <v/>
      </c>
      <c r="T2385">
        <f>IMAGE("https://mitra.stanford.edu/kundaje/oak/projects/neuro-variants/variant_position/credible/roussos_2024/variant_figures/roussos_2024.infant.GLU/rs4663623_profile_position.png",4,220,900)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-0.0778210788</v>
      </c>
      <c r="G2386" t="n">
        <v>0.08142213338517069</v>
      </c>
      <c r="H2386" t="n">
        <v>0.0129572054853923</v>
      </c>
      <c r="I2386" t="n">
        <v>0.4889684834546071</v>
      </c>
      <c r="J2386" t="n">
        <v>0.1342820608919949</v>
      </c>
      <c r="K2386" t="n">
        <v>0.1626394442518329</v>
      </c>
      <c r="L2386" t="b">
        <v>0</v>
      </c>
      <c r="M2386" t="b">
        <v>0</v>
      </c>
      <c r="N2386" t="inlineStr">
        <is>
          <t>ref</t>
        </is>
      </c>
      <c r="O2386" t="n">
        <v>30</v>
      </c>
      <c r="P2386" t="n">
        <v>0.002579</v>
      </c>
      <c r="Q2386" t="n">
        <v>90</v>
      </c>
      <c r="R2386" t="n">
        <v>0.1388</v>
      </c>
      <c r="S2386">
        <f>IMAGE("https://mitra.stanford.edu/kundaje/oak/projects/neuro-variants/variant_position/credible/roussos_2024/variant_figures/roussos_2024.infant.GLU/rs4663624_count_position.png",4,220,900)</f>
        <v/>
      </c>
      <c r="T2386">
        <f>IMAGE("https://mitra.stanford.edu/kundaje/oak/projects/neuro-variants/variant_position/credible/roussos_2024/variant_figures/roussos_2024.infant.GLU/rs4663624_profile_position.png",4,220,900)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-0.0410223066</v>
      </c>
      <c r="G2387" t="n">
        <v>0.235127472141365</v>
      </c>
      <c r="H2387" t="n">
        <v>0.0151076895591186</v>
      </c>
      <c r="I2387" t="n">
        <v>0.3549808156028691</v>
      </c>
      <c r="J2387" t="n">
        <v>0.0281223131021406</v>
      </c>
      <c r="K2387" t="n">
        <v>0.4652873419150448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0.000885</v>
      </c>
      <c r="Q2387" t="n">
        <v>80</v>
      </c>
      <c r="R2387" t="n">
        <v>0.07920000000000001</v>
      </c>
      <c r="S2387">
        <f>IMAGE("https://mitra.stanford.edu/kundaje/oak/projects/neuro-variants/variant_position/credible/roussos_2024/variant_figures/roussos_2024.infant.GLU/rs35772117_count_position.png",4,220,900)</f>
        <v/>
      </c>
      <c r="T2387">
        <f>IMAGE("https://mitra.stanford.edu/kundaje/oak/projects/neuro-variants/variant_position/credible/roussos_2024/variant_figures/roussos_2024.infant.GLU/rs35772117_profile_position.png",4,220,900)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-0.02103042754</v>
      </c>
      <c r="G2388" t="n">
        <v>0.4422182531249771</v>
      </c>
      <c r="H2388" t="n">
        <v>0.0356564371760862</v>
      </c>
      <c r="I2388" t="n">
        <v>0.0316325000899314</v>
      </c>
      <c r="J2388" t="n">
        <v>0.1893042174651116</v>
      </c>
      <c r="K2388" t="n">
        <v>0.1163805049429087</v>
      </c>
      <c r="L2388" t="b">
        <v>0</v>
      </c>
      <c r="M2388" t="b">
        <v>0</v>
      </c>
      <c r="N2388" t="inlineStr">
        <is>
          <t>ref</t>
        </is>
      </c>
      <c r="O2388" t="n">
        <v>-100</v>
      </c>
      <c r="P2388" t="n">
        <v>0.0403</v>
      </c>
      <c r="Q2388" t="n">
        <v>-100</v>
      </c>
      <c r="R2388" t="n">
        <v>0.1519</v>
      </c>
      <c r="S2388">
        <f>IMAGE("https://mitra.stanford.edu/kundaje/oak/projects/neuro-variants/variant_position/credible/roussos_2024/variant_figures/roussos_2024.infant.GLU/rs13025591_count_position.png",4,220,900)</f>
        <v/>
      </c>
      <c r="T2388">
        <f>IMAGE("https://mitra.stanford.edu/kundaje/oak/projects/neuro-variants/variant_position/credible/roussos_2024/variant_figures/roussos_2024.infant.GLU/rs13025591_profile_position.png",4,220,900)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-0.0234880262</v>
      </c>
      <c r="G2389" t="n">
        <v>0.4019201700134109</v>
      </c>
      <c r="H2389" t="n">
        <v>0.015647865535473</v>
      </c>
      <c r="I2389" t="n">
        <v>0.3284723826921126</v>
      </c>
      <c r="J2389" t="n">
        <v>0.0046650058422804</v>
      </c>
      <c r="K2389" t="n">
        <v>0.7585733502666994</v>
      </c>
      <c r="L2389" t="b">
        <v>0</v>
      </c>
      <c r="M2389" t="b">
        <v>0</v>
      </c>
      <c r="N2389" t="inlineStr">
        <is>
          <t>ref</t>
        </is>
      </c>
      <c r="O2389" t="n">
        <v>100</v>
      </c>
      <c r="P2389" t="n">
        <v>0.02145</v>
      </c>
      <c r="Q2389" t="n">
        <v>-15</v>
      </c>
      <c r="R2389" t="n">
        <v>0.04404</v>
      </c>
      <c r="S2389">
        <f>IMAGE("https://mitra.stanford.edu/kundaje/oak/projects/neuro-variants/variant_position/credible/roussos_2024/variant_figures/roussos_2024.infant.GLU/rs10192764_count_position.png",4,220,900)</f>
        <v/>
      </c>
      <c r="T2389">
        <f>IMAGE("https://mitra.stanford.edu/kundaje/oak/projects/neuro-variants/variant_position/credible/roussos_2024/variant_figures/roussos_2024.infant.GLU/rs10192764_profile_position.png",4,220,900)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0.0799225164</v>
      </c>
      <c r="G2390" t="n">
        <v>0.0759358116417672</v>
      </c>
      <c r="H2390" t="n">
        <v>0.0397903974428179</v>
      </c>
      <c r="I2390" t="n">
        <v>0.0207681138069361</v>
      </c>
      <c r="J2390" t="n">
        <v>0.2588218435150686</v>
      </c>
      <c r="K2390" t="n">
        <v>0.08053869909173859</v>
      </c>
      <c r="L2390" t="b">
        <v>0</v>
      </c>
      <c r="M2390" t="b">
        <v>0</v>
      </c>
      <c r="N2390" t="inlineStr">
        <is>
          <t>alt</t>
        </is>
      </c>
      <c r="O2390" t="n">
        <v>90</v>
      </c>
      <c r="P2390" t="n">
        <v>0.0332</v>
      </c>
      <c r="Q2390" t="n">
        <v>80</v>
      </c>
      <c r="R2390" t="n">
        <v>0.2089</v>
      </c>
      <c r="S2390">
        <f>IMAGE("https://mitra.stanford.edu/kundaje/oak/projects/neuro-variants/variant_position/credible/roussos_2024/variant_figures/roussos_2024.infant.GLU/rs6747286_count_position.png",4,220,900)</f>
        <v/>
      </c>
      <c r="T2390">
        <f>IMAGE("https://mitra.stanford.edu/kundaje/oak/projects/neuro-variants/variant_position/credible/roussos_2024/variant_figures/roussos_2024.infant.GLU/rs6747286_profile_position.png",4,220,900)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0.0240274984399999</v>
      </c>
      <c r="G2391" t="n">
        <v>0.3836168452488424</v>
      </c>
      <c r="H2391" t="n">
        <v>0.0111520511923727</v>
      </c>
      <c r="I2391" t="n">
        <v>0.6288466480905414</v>
      </c>
      <c r="J2391" t="n">
        <v>0.1003472298772018</v>
      </c>
      <c r="K2391" t="n">
        <v>0.2076313569867317</v>
      </c>
      <c r="L2391" t="b">
        <v>0</v>
      </c>
      <c r="M2391" t="b">
        <v>0</v>
      </c>
      <c r="N2391" t="inlineStr">
        <is>
          <t>alt</t>
        </is>
      </c>
      <c r="O2391" t="n">
        <v>-70</v>
      </c>
      <c r="P2391" t="n">
        <v>0.00299</v>
      </c>
      <c r="Q2391" t="n">
        <v>45</v>
      </c>
      <c r="R2391" t="n">
        <v>0.0603</v>
      </c>
      <c r="S2391">
        <f>IMAGE("https://mitra.stanford.edu/kundaje/oak/projects/neuro-variants/variant_position/credible/roussos_2024/variant_figures/roussos_2024.infant.GLU/rs1962550_count_position.png",4,220,900)</f>
        <v/>
      </c>
      <c r="T2391">
        <f>IMAGE("https://mitra.stanford.edu/kundaje/oak/projects/neuro-variants/variant_position/credible/roussos_2024/variant_figures/roussos_2024.infant.GLU/rs1962550_profile_position.png",4,220,900)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0.0815639152</v>
      </c>
      <c r="G2392" t="n">
        <v>0.080109164769531</v>
      </c>
      <c r="H2392" t="n">
        <v>0.0166819325664152</v>
      </c>
      <c r="I2392" t="n">
        <v>0.2936054526195011</v>
      </c>
      <c r="J2392" t="n">
        <v>0.1224211292136069</v>
      </c>
      <c r="K2392" t="n">
        <v>0.1749165256458206</v>
      </c>
      <c r="L2392" t="b">
        <v>0</v>
      </c>
      <c r="M2392" t="b">
        <v>0</v>
      </c>
      <c r="N2392" t="inlineStr">
        <is>
          <t>alt</t>
        </is>
      </c>
      <c r="O2392" t="n">
        <v>40</v>
      </c>
      <c r="P2392" t="n">
        <v>0.00898</v>
      </c>
      <c r="Q2392" t="n">
        <v>-10</v>
      </c>
      <c r="R2392" t="n">
        <v>0.01044</v>
      </c>
      <c r="S2392">
        <f>IMAGE("https://mitra.stanford.edu/kundaje/oak/projects/neuro-variants/variant_position/credible/roussos_2024/variant_figures/roussos_2024.infant.GLU/rs13031349_count_position.png",4,220,900)</f>
        <v/>
      </c>
      <c r="T2392">
        <f>IMAGE("https://mitra.stanford.edu/kundaje/oak/projects/neuro-variants/variant_position/credible/roussos_2024/variant_figures/roussos_2024.infant.GLU/rs13031349_profile_position.png",4,220,900)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0.0033984411899999</v>
      </c>
      <c r="G2393" t="n">
        <v>0.8406303871895154</v>
      </c>
      <c r="H2393" t="n">
        <v>0.0077662811654895</v>
      </c>
      <c r="I2393" t="n">
        <v>0.9220815716100692</v>
      </c>
      <c r="J2393" t="n">
        <v>0.331653034678895</v>
      </c>
      <c r="K2393" t="n">
        <v>0.0607789806624734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0.2479</v>
      </c>
      <c r="Q2393" t="n">
        <v>-10</v>
      </c>
      <c r="R2393" t="n">
        <v>0.00586</v>
      </c>
      <c r="S2393">
        <f>IMAGE("https://mitra.stanford.edu/kundaje/oak/projects/neuro-variants/variant_position/credible/roussos_2024/variant_figures/roussos_2024.infant.GLU/rs3738994_count_position.png",4,220,900)</f>
        <v/>
      </c>
      <c r="T2393">
        <f>IMAGE("https://mitra.stanford.edu/kundaje/oak/projects/neuro-variants/variant_position/credible/roussos_2024/variant_figures/roussos_2024.infant.GLU/rs3738994_profile_position.png",4,220,900)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-0.00736023804</v>
      </c>
      <c r="G2394" t="n">
        <v>0.4540021283452851</v>
      </c>
      <c r="H2394" t="n">
        <v>0.0111366153199253</v>
      </c>
      <c r="I2394" t="n">
        <v>0.6337755801828394</v>
      </c>
      <c r="J2394" t="n">
        <v>0.362841993871117</v>
      </c>
      <c r="K2394" t="n">
        <v>0.0534487020959136</v>
      </c>
      <c r="L2394" t="b">
        <v>0</v>
      </c>
      <c r="M2394" t="b">
        <v>0</v>
      </c>
      <c r="N2394" t="inlineStr">
        <is>
          <t>ref</t>
        </is>
      </c>
      <c r="O2394" t="n">
        <v>75</v>
      </c>
      <c r="P2394" t="n">
        <v>0.217</v>
      </c>
      <c r="Q2394" t="n">
        <v>75</v>
      </c>
      <c r="R2394" t="n">
        <v>0.281</v>
      </c>
      <c r="S2394">
        <f>IMAGE("https://mitra.stanford.edu/kundaje/oak/projects/neuro-variants/variant_position/credible/roussos_2024/variant_figures/roussos_2024.infant.GLU/rs3738993_count_position.png",4,220,900)</f>
        <v/>
      </c>
      <c r="T2394">
        <f>IMAGE("https://mitra.stanford.edu/kundaje/oak/projects/neuro-variants/variant_position/credible/roussos_2024/variant_figures/roussos_2024.infant.GLU/rs3738993_profile_position.png",4,220,900)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-0.0305985615999999</v>
      </c>
      <c r="G2395" t="n">
        <v>0.3173927024885459</v>
      </c>
      <c r="H2395" t="n">
        <v>0.0152964532014939</v>
      </c>
      <c r="I2395" t="n">
        <v>0.347411095852643</v>
      </c>
      <c r="J2395" t="n">
        <v>0.1838047576004761</v>
      </c>
      <c r="K2395" t="n">
        <v>0.1176887766926351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0.1396</v>
      </c>
      <c r="Q2395" t="n">
        <v>-85</v>
      </c>
      <c r="R2395" t="n">
        <v>0.1324</v>
      </c>
      <c r="S2395">
        <f>IMAGE("https://mitra.stanford.edu/kundaje/oak/projects/neuro-variants/variant_position/credible/roussos_2024/variant_figures/roussos_2024.infant.GLU/rs12053257_count_position.png",4,220,900)</f>
        <v/>
      </c>
      <c r="T2395">
        <f>IMAGE("https://mitra.stanford.edu/kundaje/oak/projects/neuro-variants/variant_position/credible/roussos_2024/variant_figures/roussos_2024.infant.GLU/rs12053257_profile_position.png",4,220,900)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-0.0127588342</v>
      </c>
      <c r="G2396" t="n">
        <v>0.4227409764065172</v>
      </c>
      <c r="H2396" t="n">
        <v>0.009388147651917599</v>
      </c>
      <c r="I2396" t="n">
        <v>0.7792947071538081</v>
      </c>
      <c r="J2396" t="n">
        <v>0.4158358870345466</v>
      </c>
      <c r="K2396" t="n">
        <v>0.0425562858019228</v>
      </c>
      <c r="L2396" t="b">
        <v>0</v>
      </c>
      <c r="M2396" t="b">
        <v>0</v>
      </c>
      <c r="N2396" t="inlineStr">
        <is>
          <t>ref</t>
        </is>
      </c>
      <c r="O2396" t="n">
        <v>95</v>
      </c>
      <c r="P2396" t="n">
        <v>0.0713</v>
      </c>
      <c r="Q2396" t="n">
        <v>35</v>
      </c>
      <c r="R2396" t="n">
        <v>0.1173</v>
      </c>
      <c r="S2396">
        <f>IMAGE("https://mitra.stanford.edu/kundaje/oak/projects/neuro-variants/variant_position/credible/roussos_2024/variant_figures/roussos_2024.infant.GLU/rs2123511_count_position.png",4,220,900)</f>
        <v/>
      </c>
      <c r="T2396">
        <f>IMAGE("https://mitra.stanford.edu/kundaje/oak/projects/neuro-variants/variant_position/credible/roussos_2024/variant_figures/roussos_2024.infant.GLU/rs2123511_profile_position.png",4,220,900)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-0.23990402</v>
      </c>
      <c r="G2397" t="n">
        <v>0.0064496607865125</v>
      </c>
      <c r="H2397" t="n">
        <v>0.0405447005216279</v>
      </c>
      <c r="I2397" t="n">
        <v>0.0190692401403969</v>
      </c>
      <c r="J2397" t="n">
        <v>0.1393549240503538</v>
      </c>
      <c r="K2397" t="n">
        <v>0.1650615351811997</v>
      </c>
      <c r="L2397" t="b">
        <v>1</v>
      </c>
      <c r="M2397" t="b">
        <v>1</v>
      </c>
      <c r="N2397" t="inlineStr">
        <is>
          <t>ref</t>
        </is>
      </c>
      <c r="O2397" t="n">
        <v>80</v>
      </c>
      <c r="P2397" t="n">
        <v>0.0007095</v>
      </c>
      <c r="Q2397" t="n">
        <v>-40</v>
      </c>
      <c r="R2397" t="n">
        <v>0.009889999999999999</v>
      </c>
      <c r="S2397">
        <f>IMAGE("https://mitra.stanford.edu/kundaje/oak/projects/neuro-variants/variant_position/credible/roussos_2024/variant_figures/roussos_2024.infant.GLU/rs11692136_count_position.png",4,220,900)</f>
        <v/>
      </c>
      <c r="T2397">
        <f>IMAGE("https://mitra.stanford.edu/kundaje/oak/projects/neuro-variants/variant_position/credible/roussos_2024/variant_figures/roussos_2024.infant.GLU/rs11692136_profile_position.png",4,220,900)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-0.0586791698</v>
      </c>
      <c r="G2398" t="n">
        <v>0.1366163129562291</v>
      </c>
      <c r="H2398" t="n">
        <v>0.0135653538544596</v>
      </c>
      <c r="I2398" t="n">
        <v>0.4525972974045097</v>
      </c>
      <c r="J2398" t="n">
        <v>0.0136455830154985</v>
      </c>
      <c r="K2398" t="n">
        <v>0.6245523073892164</v>
      </c>
      <c r="L2398" t="b">
        <v>0</v>
      </c>
      <c r="M2398" t="b">
        <v>0</v>
      </c>
      <c r="N2398" t="inlineStr">
        <is>
          <t>ref</t>
        </is>
      </c>
      <c r="O2398" t="n">
        <v>35</v>
      </c>
      <c r="P2398" t="n">
        <v>0.002121</v>
      </c>
      <c r="Q2398" t="n">
        <v>90</v>
      </c>
      <c r="R2398" t="n">
        <v>0.03473</v>
      </c>
      <c r="S2398">
        <f>IMAGE("https://mitra.stanford.edu/kundaje/oak/projects/neuro-variants/variant_position/credible/roussos_2024/variant_figures/roussos_2024.infant.GLU/rs876739_count_position.png",4,220,900)</f>
        <v/>
      </c>
      <c r="T2398">
        <f>IMAGE("https://mitra.stanford.edu/kundaje/oak/projects/neuro-variants/variant_position/credible/roussos_2024/variant_figures/roussos_2024.infant.GLU/rs876739_profile_position.png",4,220,900)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-0.23028724</v>
      </c>
      <c r="G2399" t="n">
        <v>0.0067899899818195</v>
      </c>
      <c r="H2399" t="n">
        <v>0.0470460844443779</v>
      </c>
      <c r="I2399" t="n">
        <v>0.0100758044710323</v>
      </c>
      <c r="J2399" t="n">
        <v>0.1965475429352498</v>
      </c>
      <c r="K2399" t="n">
        <v>0.1142415924279777</v>
      </c>
      <c r="L2399" t="b">
        <v>1</v>
      </c>
      <c r="M2399" t="b">
        <v>1</v>
      </c>
      <c r="N2399" t="inlineStr">
        <is>
          <t>ref</t>
        </is>
      </c>
      <c r="O2399" t="n">
        <v>-50</v>
      </c>
      <c r="P2399" t="n">
        <v>0.001022</v>
      </c>
      <c r="Q2399" t="n">
        <v>-40</v>
      </c>
      <c r="R2399" t="n">
        <v>0.09909999999999999</v>
      </c>
      <c r="S2399">
        <f>IMAGE("https://mitra.stanford.edu/kundaje/oak/projects/neuro-variants/variant_position/credible/roussos_2024/variant_figures/roussos_2024.infant.GLU/rs3754659_count_position.png",4,220,900)</f>
        <v/>
      </c>
      <c r="T2399">
        <f>IMAGE("https://mitra.stanford.edu/kundaje/oak/projects/neuro-variants/variant_position/credible/roussos_2024/variant_figures/roussos_2024.infant.GLU/rs3754659_profile_position.png",4,220,900)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-0.0200691931999999</v>
      </c>
      <c r="G2400" t="n">
        <v>0.3594973933920041</v>
      </c>
      <c r="H2400" t="n">
        <v>0.0099597007972578</v>
      </c>
      <c r="I2400" t="n">
        <v>0.7055763080179347</v>
      </c>
      <c r="J2400" t="n">
        <v>0.1412365792896668</v>
      </c>
      <c r="K2400" t="n">
        <v>0.1584093203539168</v>
      </c>
      <c r="L2400" t="b">
        <v>0</v>
      </c>
      <c r="M2400" t="b">
        <v>0</v>
      </c>
      <c r="N2400" t="inlineStr">
        <is>
          <t>ref</t>
        </is>
      </c>
      <c r="O2400" t="n">
        <v>-100</v>
      </c>
      <c r="P2400" t="n">
        <v>0.002756</v>
      </c>
      <c r="Q2400" t="n">
        <v>30</v>
      </c>
      <c r="R2400" t="n">
        <v>0.01587</v>
      </c>
      <c r="S2400">
        <f>IMAGE("https://mitra.stanford.edu/kundaje/oak/projects/neuro-variants/variant_position/credible/roussos_2024/variant_figures/roussos_2024.infant.GLU/rs2247983_count_position.png",4,220,900)</f>
        <v/>
      </c>
      <c r="T2400">
        <f>IMAGE("https://mitra.stanford.edu/kundaje/oak/projects/neuro-variants/variant_position/credible/roussos_2024/variant_figures/roussos_2024.infant.GLU/rs2247983_profile_position.png",4,220,900)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-0.0078020311999999</v>
      </c>
      <c r="G2401" t="n">
        <v>0.6739793018927116</v>
      </c>
      <c r="H2401" t="n">
        <v>0.0057252928213051</v>
      </c>
      <c r="I2401" t="n">
        <v>0.9942090564440637</v>
      </c>
      <c r="J2401" t="n">
        <v>0.0251725126215304</v>
      </c>
      <c r="K2401" t="n">
        <v>0.4977836182095137</v>
      </c>
      <c r="L2401" t="b">
        <v>0</v>
      </c>
      <c r="M2401" t="b">
        <v>0</v>
      </c>
      <c r="N2401" t="inlineStr">
        <is>
          <t>ref</t>
        </is>
      </c>
      <c r="O2401" t="n">
        <v>70</v>
      </c>
      <c r="P2401" t="n">
        <v>0.007477</v>
      </c>
      <c r="Q2401" t="n">
        <v>5</v>
      </c>
      <c r="R2401" t="n">
        <v>0.012146</v>
      </c>
      <c r="S2401">
        <f>IMAGE("https://mitra.stanford.edu/kundaje/oak/projects/neuro-variants/variant_position/credible/roussos_2024/variant_figures/roussos_2024.infant.GLU/rs6129108_count_position.png",4,220,900)</f>
        <v/>
      </c>
      <c r="T2401">
        <f>IMAGE("https://mitra.stanford.edu/kundaje/oak/projects/neuro-variants/variant_position/credible/roussos_2024/variant_figures/roussos_2024.infant.GLU/rs6129108_profile_position.png",4,220,900)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0.0089063188</v>
      </c>
      <c r="G2402" t="n">
        <v>0.6298481890987835</v>
      </c>
      <c r="H2402" t="n">
        <v>0.0105851686026056</v>
      </c>
      <c r="I2402" t="n">
        <v>0.6617552297766429</v>
      </c>
      <c r="J2402" t="n">
        <v>0.3688727705637249</v>
      </c>
      <c r="K2402" t="n">
        <v>0.0510028728314462</v>
      </c>
      <c r="L2402" t="b">
        <v>0</v>
      </c>
      <c r="M2402" t="b">
        <v>0</v>
      </c>
      <c r="N2402" t="inlineStr">
        <is>
          <t>alt</t>
        </is>
      </c>
      <c r="O2402" t="n">
        <v>-95</v>
      </c>
      <c r="P2402" t="n">
        <v>0.00827</v>
      </c>
      <c r="Q2402" t="n">
        <v>100</v>
      </c>
      <c r="R2402" t="n">
        <v>0.186</v>
      </c>
      <c r="S2402">
        <f>IMAGE("https://mitra.stanford.edu/kundaje/oak/projects/neuro-variants/variant_position/credible/roussos_2024/variant_figures/roussos_2024.infant.GLU/rs6129111_count_position.png",4,220,900)</f>
        <v/>
      </c>
      <c r="T2402">
        <f>IMAGE("https://mitra.stanford.edu/kundaje/oak/projects/neuro-variants/variant_position/credible/roussos_2024/variant_figures/roussos_2024.infant.GLU/rs6129111_profile_position.png",4,220,900)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-0.0227328988</v>
      </c>
      <c r="G2403" t="n">
        <v>0.4091161308045803</v>
      </c>
      <c r="H2403" t="n">
        <v>0.0136679765158307</v>
      </c>
      <c r="I2403" t="n">
        <v>0.436389550765143</v>
      </c>
      <c r="J2403" t="n">
        <v>0.1191218942216539</v>
      </c>
      <c r="K2403" t="n">
        <v>0.1835115749052442</v>
      </c>
      <c r="L2403" t="b">
        <v>0</v>
      </c>
      <c r="M2403" t="b">
        <v>0</v>
      </c>
      <c r="N2403" t="inlineStr">
        <is>
          <t>ref</t>
        </is>
      </c>
      <c r="O2403" t="n">
        <v>-75</v>
      </c>
      <c r="P2403" t="n">
        <v>0.012115</v>
      </c>
      <c r="Q2403" t="n">
        <v>20</v>
      </c>
      <c r="R2403" t="n">
        <v>0.0488</v>
      </c>
      <c r="S2403">
        <f>IMAGE("https://mitra.stanford.edu/kundaje/oak/projects/neuro-variants/variant_position/credible/roussos_2024/variant_figures/roussos_2024.infant.GLU/rs1006945_count_position.png",4,220,900)</f>
        <v/>
      </c>
      <c r="T2403">
        <f>IMAGE("https://mitra.stanford.edu/kundaje/oak/projects/neuro-variants/variant_position/credible/roussos_2024/variant_figures/roussos_2024.infant.GLU/rs1006945_profile_position.png",4,220,900)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-0.530394652</v>
      </c>
      <c r="G2404" t="n">
        <v>0.0003173510341318</v>
      </c>
      <c r="H2404" t="n">
        <v>0.0733280742361305</v>
      </c>
      <c r="I2404" t="n">
        <v>0.0010489620457919</v>
      </c>
      <c r="J2404" t="n">
        <v>0.3714841597036972</v>
      </c>
      <c r="K2404" t="n">
        <v>0.0524924199379141</v>
      </c>
      <c r="L2404" t="b">
        <v>1</v>
      </c>
      <c r="M2404" t="b">
        <v>1</v>
      </c>
      <c r="N2404" t="inlineStr">
        <is>
          <t>ref</t>
        </is>
      </c>
      <c r="O2404" t="n">
        <v>-80</v>
      </c>
      <c r="P2404" t="n">
        <v>0.02145</v>
      </c>
      <c r="Q2404" t="n">
        <v>-80</v>
      </c>
      <c r="R2404" t="n">
        <v>0.0381</v>
      </c>
      <c r="S2404">
        <f>IMAGE("https://mitra.stanford.edu/kundaje/oak/projects/neuro-variants/variant_position/credible/roussos_2024/variant_figures/roussos_2024.infant.GLU/rs4812319_count_position.png",4,220,900)</f>
        <v/>
      </c>
      <c r="T2404">
        <f>IMAGE("https://mitra.stanford.edu/kundaje/oak/projects/neuro-variants/variant_position/credible/roussos_2024/variant_figures/roussos_2024.infant.GLU/rs4812319_profile_position.png",4,220,900)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-0.01114733754</v>
      </c>
      <c r="G2405" t="n">
        <v>0.6217759912649098</v>
      </c>
      <c r="H2405" t="n">
        <v>0.0080596609260531</v>
      </c>
      <c r="I2405" t="n">
        <v>0.9067337206831924</v>
      </c>
      <c r="J2405" t="n">
        <v>0.4121508410679248</v>
      </c>
      <c r="K2405" t="n">
        <v>0.042784936327196</v>
      </c>
      <c r="L2405" t="b">
        <v>0</v>
      </c>
      <c r="M2405" t="b">
        <v>0</v>
      </c>
      <c r="N2405" t="inlineStr">
        <is>
          <t>ref</t>
        </is>
      </c>
      <c r="O2405" t="n">
        <v>-75</v>
      </c>
      <c r="P2405" t="n">
        <v>0.03513</v>
      </c>
      <c r="Q2405" t="n">
        <v>-70</v>
      </c>
      <c r="R2405" t="n">
        <v>0.3203</v>
      </c>
      <c r="S2405">
        <f>IMAGE("https://mitra.stanford.edu/kundaje/oak/projects/neuro-variants/variant_position/credible/roussos_2024/variant_figures/roussos_2024.infant.GLU/rs6028167_count_position.png",4,220,900)</f>
        <v/>
      </c>
      <c r="T2405">
        <f>IMAGE("https://mitra.stanford.edu/kundaje/oak/projects/neuro-variants/variant_position/credible/roussos_2024/variant_figures/roussos_2024.infant.GLU/rs6028167_profile_position.png",4,220,900)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-0.00826614646</v>
      </c>
      <c r="G2406" t="n">
        <v>0.6506802659419961</v>
      </c>
      <c r="H2406" t="n">
        <v>0.0096439414274028</v>
      </c>
      <c r="I2406" t="n">
        <v>0.7728301828943485</v>
      </c>
      <c r="J2406" t="n">
        <v>0.0414625542891156</v>
      </c>
      <c r="K2406" t="n">
        <v>0.3802206454944464</v>
      </c>
      <c r="L2406" t="b">
        <v>0</v>
      </c>
      <c r="M2406" t="b">
        <v>0</v>
      </c>
      <c r="N2406" t="inlineStr">
        <is>
          <t>ref</t>
        </is>
      </c>
      <c r="O2406" t="n">
        <v>-50</v>
      </c>
      <c r="P2406" t="n">
        <v>0.001465</v>
      </c>
      <c r="Q2406" t="n">
        <v>20</v>
      </c>
      <c r="R2406" t="n">
        <v>0.04205</v>
      </c>
      <c r="S2406">
        <f>IMAGE("https://mitra.stanford.edu/kundaje/oak/projects/neuro-variants/variant_position/credible/roussos_2024/variant_figures/roussos_2024.infant.GLU/rs4812324_count_position.png",4,220,900)</f>
        <v/>
      </c>
      <c r="T2406">
        <f>IMAGE("https://mitra.stanford.edu/kundaje/oak/projects/neuro-variants/variant_position/credible/roussos_2024/variant_figures/roussos_2024.infant.GLU/rs4812324_profile_position.png",4,220,900)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-0.03138784512</v>
      </c>
      <c r="G2407" t="n">
        <v>0.3181474755378593</v>
      </c>
      <c r="H2407" t="n">
        <v>0.0173017367179888</v>
      </c>
      <c r="I2407" t="n">
        <v>0.2757221512140964</v>
      </c>
      <c r="J2407" t="n">
        <v>0.063525430454816</v>
      </c>
      <c r="K2407" t="n">
        <v>0.2937483379814981</v>
      </c>
      <c r="L2407" t="b">
        <v>0</v>
      </c>
      <c r="M2407" t="b">
        <v>0</v>
      </c>
      <c r="N2407" t="inlineStr">
        <is>
          <t>ref</t>
        </is>
      </c>
      <c r="O2407" t="n">
        <v>-70</v>
      </c>
      <c r="P2407" t="n">
        <v>0.005234</v>
      </c>
      <c r="Q2407" t="n">
        <v>100</v>
      </c>
      <c r="R2407" t="n">
        <v>0.252</v>
      </c>
      <c r="S2407">
        <f>IMAGE("https://mitra.stanford.edu/kundaje/oak/projects/neuro-variants/variant_position/credible/roussos_2024/variant_figures/roussos_2024.infant.GLU/rs2425614_count_position.png",4,220,900)</f>
        <v/>
      </c>
      <c r="T2407">
        <f>IMAGE("https://mitra.stanford.edu/kundaje/oak/projects/neuro-variants/variant_position/credible/roussos_2024/variant_figures/roussos_2024.infant.GLU/rs2425614_profile_position.png",4,220,900)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0.040111924</v>
      </c>
      <c r="G2408" t="n">
        <v>0.1311643223761608</v>
      </c>
      <c r="H2408" t="n">
        <v>0.0143615783478184</v>
      </c>
      <c r="I2408" t="n">
        <v>0.4029020717096422</v>
      </c>
      <c r="J2408" t="n">
        <v>0.064229811062854</v>
      </c>
      <c r="K2408" t="n">
        <v>0.2980326081588905</v>
      </c>
      <c r="L2408" t="b">
        <v>0</v>
      </c>
      <c r="M2408" t="b">
        <v>0</v>
      </c>
      <c r="N2408" t="inlineStr">
        <is>
          <t>alt</t>
        </is>
      </c>
      <c r="O2408" t="n">
        <v>55</v>
      </c>
      <c r="P2408" t="n">
        <v>0.003754</v>
      </c>
      <c r="Q2408" t="n">
        <v>-10</v>
      </c>
      <c r="R2408" t="n">
        <v>0.03442</v>
      </c>
      <c r="S2408">
        <f>IMAGE("https://mitra.stanford.edu/kundaje/oak/projects/neuro-variants/variant_position/credible/roussos_2024/variant_figures/roussos_2024.infant.GLU/rs926288_count_position.png",4,220,900)</f>
        <v/>
      </c>
      <c r="T2408">
        <f>IMAGE("https://mitra.stanford.edu/kundaje/oak/projects/neuro-variants/variant_position/credible/roussos_2024/variant_figures/roussos_2024.infant.GLU/rs926288_profile_position.png",4,220,900)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0.08714197999999999</v>
      </c>
      <c r="G2409" t="n">
        <v>0.0669000872331792</v>
      </c>
      <c r="H2409" t="n">
        <v>0.0135219616008776</v>
      </c>
      <c r="I2409" t="n">
        <v>0.4475922575994159</v>
      </c>
      <c r="J2409" t="n">
        <v>0.0468947728124517</v>
      </c>
      <c r="K2409" t="n">
        <v>0.3707340523926306</v>
      </c>
      <c r="L2409" t="b">
        <v>0</v>
      </c>
      <c r="M2409" t="b">
        <v>0</v>
      </c>
      <c r="N2409" t="inlineStr">
        <is>
          <t>alt</t>
        </is>
      </c>
      <c r="O2409" t="n">
        <v>-30</v>
      </c>
      <c r="P2409" t="n">
        <v>0.003323</v>
      </c>
      <c r="Q2409" t="n">
        <v>-100</v>
      </c>
      <c r="R2409" t="n">
        <v>0.11725</v>
      </c>
      <c r="S2409">
        <f>IMAGE("https://mitra.stanford.edu/kundaje/oak/projects/neuro-variants/variant_position/credible/roussos_2024/variant_figures/roussos_2024.infant.GLU/rs3950190_count_position.png",4,220,900)</f>
        <v/>
      </c>
      <c r="T2409">
        <f>IMAGE("https://mitra.stanford.edu/kundaje/oak/projects/neuro-variants/variant_position/credible/roussos_2024/variant_figures/roussos_2024.infant.GLU/rs3950190_profile_position.png",4,220,900)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0.030281624</v>
      </c>
      <c r="G2410" t="n">
        <v>0.3076530049311714</v>
      </c>
      <c r="H2410" t="n">
        <v>0.009600621097629301</v>
      </c>
      <c r="I2410" t="n">
        <v>0.76502805711529</v>
      </c>
      <c r="J2410" t="n">
        <v>0.0293117132211909</v>
      </c>
      <c r="K2410" t="n">
        <v>0.4587535941045235</v>
      </c>
      <c r="L2410" t="b">
        <v>0</v>
      </c>
      <c r="M2410" t="b">
        <v>0</v>
      </c>
      <c r="N2410" t="inlineStr">
        <is>
          <t>alt</t>
        </is>
      </c>
      <c r="O2410" t="n">
        <v>-55</v>
      </c>
      <c r="P2410" t="n">
        <v>0.0101</v>
      </c>
      <c r="Q2410" t="n">
        <v>100</v>
      </c>
      <c r="R2410" t="n">
        <v>0.06836</v>
      </c>
      <c r="S2410">
        <f>IMAGE("https://mitra.stanford.edu/kundaje/oak/projects/neuro-variants/variant_position/credible/roussos_2024/variant_figures/roussos_2024.infant.GLU/rs1569440_count_position.png",4,220,900)</f>
        <v/>
      </c>
      <c r="T2410">
        <f>IMAGE("https://mitra.stanford.edu/kundaje/oak/projects/neuro-variants/variant_position/credible/roussos_2024/variant_figures/roussos_2024.infant.GLU/rs1569440_profile_position.png",4,220,900)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0.0132036591199999</v>
      </c>
      <c r="G2411" t="n">
        <v>0.5164902076108815</v>
      </c>
      <c r="H2411" t="n">
        <v>0.0331749374984375</v>
      </c>
      <c r="I2411" t="n">
        <v>0.0408972131117591</v>
      </c>
      <c r="J2411" t="n">
        <v>0.1720242950682334</v>
      </c>
      <c r="K2411" t="n">
        <v>0.1257956063871466</v>
      </c>
      <c r="L2411" t="b">
        <v>0</v>
      </c>
      <c r="M2411" t="b">
        <v>0</v>
      </c>
      <c r="N2411" t="inlineStr">
        <is>
          <t>alt</t>
        </is>
      </c>
      <c r="O2411" t="n">
        <v>-80</v>
      </c>
      <c r="P2411" t="n">
        <v>0.2128</v>
      </c>
      <c r="Q2411" t="n">
        <v>70</v>
      </c>
      <c r="R2411" t="n">
        <v>0.1733</v>
      </c>
      <c r="S2411">
        <f>IMAGE("https://mitra.stanford.edu/kundaje/oak/projects/neuro-variants/variant_position/credible/roussos_2024/variant_figures/roussos_2024.infant.GLU/rs6017460_count_position.png",4,220,900)</f>
        <v/>
      </c>
      <c r="T2411">
        <f>IMAGE("https://mitra.stanford.edu/kundaje/oak/projects/neuro-variants/variant_position/credible/roussos_2024/variant_figures/roussos_2024.infant.GLU/rs6017460_profile_position.png",4,220,900)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-0.0631357192</v>
      </c>
      <c r="G2412" t="n">
        <v>0.1410135135972647</v>
      </c>
      <c r="H2412" t="n">
        <v>0.028725241181334</v>
      </c>
      <c r="I2412" t="n">
        <v>0.07029905904270051</v>
      </c>
      <c r="J2412" t="n">
        <v>0.1734374655525915</v>
      </c>
      <c r="K2412" t="n">
        <v>0.1287556505818892</v>
      </c>
      <c r="L2412" t="b">
        <v>0</v>
      </c>
      <c r="M2412" t="b">
        <v>0</v>
      </c>
      <c r="N2412" t="inlineStr">
        <is>
          <t>ref</t>
        </is>
      </c>
      <c r="O2412" t="n">
        <v>-55</v>
      </c>
      <c r="P2412" t="n">
        <v>0.00482</v>
      </c>
      <c r="Q2412" t="n">
        <v>-60</v>
      </c>
      <c r="R2412" t="n">
        <v>0.0853</v>
      </c>
      <c r="S2412">
        <f>IMAGE("https://mitra.stanford.edu/kundaje/oak/projects/neuro-variants/variant_position/credible/roussos_2024/variant_figures/roussos_2024.infant.GLU/rs12624433_count_position.png",4,220,900)</f>
        <v/>
      </c>
      <c r="T2412">
        <f>IMAGE("https://mitra.stanford.edu/kundaje/oak/projects/neuro-variants/variant_position/credible/roussos_2024/variant_figures/roussos_2024.infant.GLU/rs12624433_profile_position.png",4,220,900)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0.0409357316</v>
      </c>
      <c r="G2413" t="n">
        <v>0.2187061193125306</v>
      </c>
      <c r="H2413" t="n">
        <v>0.011619675547083</v>
      </c>
      <c r="I2413" t="n">
        <v>0.5930544655751891</v>
      </c>
      <c r="J2413" t="n">
        <v>0.0899424590489207</v>
      </c>
      <c r="K2413" t="n">
        <v>0.2583979766228105</v>
      </c>
      <c r="L2413" t="b">
        <v>0</v>
      </c>
      <c r="M2413" t="b">
        <v>0</v>
      </c>
      <c r="N2413" t="inlineStr">
        <is>
          <t>alt</t>
        </is>
      </c>
      <c r="O2413" t="n">
        <v>-90</v>
      </c>
      <c r="P2413" t="n">
        <v>0.008449999999999999</v>
      </c>
      <c r="Q2413" t="n">
        <v>-100</v>
      </c>
      <c r="R2413" t="n">
        <v>0.09045</v>
      </c>
      <c r="S2413">
        <f>IMAGE("https://mitra.stanford.edu/kundaje/oak/projects/neuro-variants/variant_position/credible/roussos_2024/variant_figures/roussos_2024.infant.GLU/rs4578918_count_position.png",4,220,900)</f>
        <v/>
      </c>
      <c r="T2413">
        <f>IMAGE("https://mitra.stanford.edu/kundaje/oak/projects/neuro-variants/variant_position/credible/roussos_2024/variant_figures/roussos_2024.infant.GLU/rs4578918_profile_position.png",4,220,900)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-0.00066646384</v>
      </c>
      <c r="G2414" t="n">
        <v>0.3211418830332076</v>
      </c>
      <c r="H2414" t="n">
        <v>0.0267926901798482</v>
      </c>
      <c r="I2414" t="n">
        <v>0.0830802805129679</v>
      </c>
      <c r="J2414" t="n">
        <v>0.0184131043453338</v>
      </c>
      <c r="K2414" t="n">
        <v>0.5517312893941717</v>
      </c>
      <c r="L2414" t="b">
        <v>0</v>
      </c>
      <c r="M2414" t="b">
        <v>0</v>
      </c>
      <c r="N2414" t="inlineStr">
        <is>
          <t>ref</t>
        </is>
      </c>
      <c r="O2414" t="n">
        <v>90</v>
      </c>
      <c r="P2414" t="n">
        <v>0.002422</v>
      </c>
      <c r="Q2414" t="n">
        <v>90</v>
      </c>
      <c r="R2414" t="n">
        <v>0.08765000000000001</v>
      </c>
      <c r="S2414">
        <f>IMAGE("https://mitra.stanford.edu/kundaje/oak/projects/neuro-variants/variant_position/credible/roussos_2024/variant_figures/roussos_2024.infant.GLU/rs6065926_count_position.png",4,220,900)</f>
        <v/>
      </c>
      <c r="T2414">
        <f>IMAGE("https://mitra.stanford.edu/kundaje/oak/projects/neuro-variants/variant_position/credible/roussos_2024/variant_figures/roussos_2024.infant.GLU/rs6065926_profile_position.png",4,220,900)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-0.117349872</v>
      </c>
      <c r="G2415" t="n">
        <v>0.0374755022128186</v>
      </c>
      <c r="H2415" t="n">
        <v>0.0193019337982353</v>
      </c>
      <c r="I2415" t="n">
        <v>0.2107023756522034</v>
      </c>
      <c r="J2415" t="n">
        <v>0.0871095041777816</v>
      </c>
      <c r="K2415" t="n">
        <v>0.2608193661844252</v>
      </c>
      <c r="L2415" t="b">
        <v>0</v>
      </c>
      <c r="M2415" t="b">
        <v>0</v>
      </c>
      <c r="N2415" t="inlineStr">
        <is>
          <t>ref</t>
        </is>
      </c>
      <c r="O2415" t="n">
        <v>100</v>
      </c>
      <c r="P2415" t="n">
        <v>0.00915</v>
      </c>
      <c r="Q2415" t="n">
        <v>-5</v>
      </c>
      <c r="R2415" t="n">
        <v>0.0002441</v>
      </c>
      <c r="S2415">
        <f>IMAGE("https://mitra.stanford.edu/kundaje/oak/projects/neuro-variants/variant_position/credible/roussos_2024/variant_figures/roussos_2024.infant.GLU/rs6074022_count_position.png",4,220,900)</f>
        <v/>
      </c>
      <c r="T2415">
        <f>IMAGE("https://mitra.stanford.edu/kundaje/oak/projects/neuro-variants/variant_position/credible/roussos_2024/variant_figures/roussos_2024.infant.GLU/rs6074022_profile_position.png",4,220,900)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0.0478470908</v>
      </c>
      <c r="G2416" t="n">
        <v>0.1710947048116376</v>
      </c>
      <c r="H2416" t="n">
        <v>0.0108958614035386</v>
      </c>
      <c r="I2416" t="n">
        <v>0.657592881057998</v>
      </c>
      <c r="J2416" t="n">
        <v>0.1897782138054189</v>
      </c>
      <c r="K2416" t="n">
        <v>0.1191976896423925</v>
      </c>
      <c r="L2416" t="b">
        <v>0</v>
      </c>
      <c r="M2416" t="b">
        <v>0</v>
      </c>
      <c r="N2416" t="inlineStr">
        <is>
          <t>alt</t>
        </is>
      </c>
      <c r="O2416" t="n">
        <v>-30</v>
      </c>
      <c r="P2416" t="n">
        <v>0.01733</v>
      </c>
      <c r="Q2416" t="n">
        <v>-55</v>
      </c>
      <c r="R2416" t="n">
        <v>0.1606</v>
      </c>
      <c r="S2416">
        <f>IMAGE("https://mitra.stanford.edu/kundaje/oak/projects/neuro-variants/variant_position/credible/roussos_2024/variant_figures/roussos_2024.infant.GLU/rs4810485_count_position.png",4,220,900)</f>
        <v/>
      </c>
      <c r="T2416">
        <f>IMAGE("https://mitra.stanford.edu/kundaje/oak/projects/neuro-variants/variant_position/credible/roussos_2024/variant_figures/roussos_2024.infant.GLU/rs4810485_profile_position.png",4,220,900)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0.00854544332</v>
      </c>
      <c r="G2417" t="n">
        <v>0.6676263225848887</v>
      </c>
      <c r="H2417" t="n">
        <v>0.0382517275230713</v>
      </c>
      <c r="I2417" t="n">
        <v>0.0242483955961246</v>
      </c>
      <c r="J2417" t="n">
        <v>0.8317544478493794</v>
      </c>
      <c r="K2417" t="n">
        <v>0.0064693520015284</v>
      </c>
      <c r="L2417" t="b">
        <v>0</v>
      </c>
      <c r="M2417" t="b">
        <v>0</v>
      </c>
      <c r="N2417" t="inlineStr">
        <is>
          <t>alt</t>
        </is>
      </c>
      <c r="O2417" t="n">
        <v>85</v>
      </c>
      <c r="P2417" t="n">
        <v>0.0094</v>
      </c>
      <c r="Q2417" t="n">
        <v>-30</v>
      </c>
      <c r="R2417" t="n">
        <v>0.01636</v>
      </c>
      <c r="S2417">
        <f>IMAGE("https://mitra.stanford.edu/kundaje/oak/projects/neuro-variants/variant_position/credible/roussos_2024/variant_figures/roussos_2024.infant.GLU/rs74361372_count_position.png",4,220,900)</f>
        <v/>
      </c>
      <c r="T2417">
        <f>IMAGE("https://mitra.stanford.edu/kundaje/oak/projects/neuro-variants/variant_position/credible/roussos_2024/variant_figures/roussos_2024.infant.GLU/rs74361372_profile_position.png",4,220,900)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-0.24558679</v>
      </c>
      <c r="G2418" t="n">
        <v>0.0062711615607261</v>
      </c>
      <c r="H2418" t="n">
        <v>0.043415593649108</v>
      </c>
      <c r="I2418" t="n">
        <v>0.0151001416702107</v>
      </c>
      <c r="J2418" t="n">
        <v>0.0136356621618641</v>
      </c>
      <c r="K2418" t="n">
        <v>0.614738787193522</v>
      </c>
      <c r="L2418" t="b">
        <v>1</v>
      </c>
      <c r="M2418" t="b">
        <v>1</v>
      </c>
      <c r="N2418" t="inlineStr">
        <is>
          <t>ref</t>
        </is>
      </c>
      <c r="O2418" t="n">
        <v>-95</v>
      </c>
      <c r="P2418" t="n">
        <v>0.00818</v>
      </c>
      <c r="Q2418" t="n">
        <v>-60</v>
      </c>
      <c r="R2418" t="n">
        <v>0.03326</v>
      </c>
      <c r="S2418">
        <f>IMAGE("https://mitra.stanford.edu/kundaje/oak/projects/neuro-variants/variant_position/credible/roussos_2024/variant_figures/roussos_2024.infant.GLU/rs6012677_count_position.png",4,220,900)</f>
        <v/>
      </c>
      <c r="T2418">
        <f>IMAGE("https://mitra.stanford.edu/kundaje/oak/projects/neuro-variants/variant_position/credible/roussos_2024/variant_figures/roussos_2024.infant.GLU/rs6012677_profile_position.png",4,220,900)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0.098921388</v>
      </c>
      <c r="G2419" t="n">
        <v>0.0593744156031437</v>
      </c>
      <c r="H2419" t="n">
        <v>0.0170118649796373</v>
      </c>
      <c r="I2419" t="n">
        <v>0.2726390071288098</v>
      </c>
      <c r="J2419" t="n">
        <v>0.0648691549637337</v>
      </c>
      <c r="K2419" t="n">
        <v>0.3084991478920864</v>
      </c>
      <c r="L2419" t="b">
        <v>0</v>
      </c>
      <c r="M2419" t="b">
        <v>0</v>
      </c>
      <c r="N2419" t="inlineStr">
        <is>
          <t>alt</t>
        </is>
      </c>
      <c r="O2419" t="n">
        <v>25</v>
      </c>
      <c r="P2419" t="n">
        <v>0.003708</v>
      </c>
      <c r="Q2419" t="n">
        <v>-10</v>
      </c>
      <c r="R2419" t="n">
        <v>0.03076</v>
      </c>
      <c r="S2419">
        <f>IMAGE("https://mitra.stanford.edu/kundaje/oak/projects/neuro-variants/variant_position/credible/roussos_2024/variant_figures/roussos_2024.infant.GLU/rs11696755_count_position.png",4,220,900)</f>
        <v/>
      </c>
      <c r="T2419">
        <f>IMAGE("https://mitra.stanford.edu/kundaje/oak/projects/neuro-variants/variant_position/credible/roussos_2024/variant_figures/roussos_2024.infant.GLU/rs11696755_profile_position.png",4,220,900)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-0.0665775514</v>
      </c>
      <c r="G2420" t="n">
        <v>0.1182521127016249</v>
      </c>
      <c r="H2420" t="n">
        <v>0.0155947951752609</v>
      </c>
      <c r="I2420" t="n">
        <v>0.3412990409405507</v>
      </c>
      <c r="J2420" t="n">
        <v>0.0038459842589122</v>
      </c>
      <c r="K2420" t="n">
        <v>0.7992424956472814</v>
      </c>
      <c r="L2420" t="b">
        <v>0</v>
      </c>
      <c r="M2420" t="b">
        <v>0</v>
      </c>
      <c r="N2420" t="inlineStr">
        <is>
          <t>ref</t>
        </is>
      </c>
      <c r="O2420" t="n">
        <v>50</v>
      </c>
      <c r="P2420" t="n">
        <v>0.007614</v>
      </c>
      <c r="Q2420" t="n">
        <v>20</v>
      </c>
      <c r="R2420" t="n">
        <v>0.01341</v>
      </c>
      <c r="S2420">
        <f>IMAGE("https://mitra.stanford.edu/kundaje/oak/projects/neuro-variants/variant_position/credible/roussos_2024/variant_figures/roussos_2024.infant.GLU/rs6095541_count_position.png",4,220,900)</f>
        <v/>
      </c>
      <c r="T2420">
        <f>IMAGE("https://mitra.stanford.edu/kundaje/oak/projects/neuro-variants/variant_position/credible/roussos_2024/variant_figures/roussos_2024.infant.GLU/rs6095541_profile_position.png",4,220,900)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-0.01282403214</v>
      </c>
      <c r="G2421" t="n">
        <v>0.5752555861049973</v>
      </c>
      <c r="H2421" t="n">
        <v>0.0420929106311361</v>
      </c>
      <c r="I2421" t="n">
        <v>0.0164501953966241</v>
      </c>
      <c r="J2421" t="n">
        <v>0.0467569831786414</v>
      </c>
      <c r="K2421" t="n">
        <v>0.3661287360996062</v>
      </c>
      <c r="L2421" t="b">
        <v>1</v>
      </c>
      <c r="M2421" t="b">
        <v>0</v>
      </c>
      <c r="N2421" t="inlineStr">
        <is>
          <t>ref</t>
        </is>
      </c>
      <c r="O2421" t="n">
        <v>-100</v>
      </c>
      <c r="P2421" t="n">
        <v>0.15</v>
      </c>
      <c r="Q2421" t="n">
        <v>-100</v>
      </c>
      <c r="R2421" t="n">
        <v>0.04703</v>
      </c>
      <c r="S2421">
        <f>IMAGE("https://mitra.stanford.edu/kundaje/oak/projects/neuro-variants/variant_position/credible/roussos_2024/variant_figures/roussos_2024.infant.GLU/rs5596_count_position.png",4,220,900)</f>
        <v/>
      </c>
      <c r="T2421">
        <f>IMAGE("https://mitra.stanford.edu/kundaje/oak/projects/neuro-variants/variant_position/credible/roussos_2024/variant_figures/roussos_2024.infant.GLU/rs5596_profile_position.png",4,220,900)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0.053205273</v>
      </c>
      <c r="G2422" t="n">
        <v>0.1484649730848458</v>
      </c>
      <c r="H2422" t="n">
        <v>0.0175790727112971</v>
      </c>
      <c r="I2422" t="n">
        <v>0.2541695113184384</v>
      </c>
      <c r="J2422" t="n">
        <v>0.1005103728036332</v>
      </c>
      <c r="K2422" t="n">
        <v>0.2126894743463531</v>
      </c>
      <c r="L2422" t="b">
        <v>0</v>
      </c>
      <c r="M2422" t="b">
        <v>0</v>
      </c>
      <c r="N2422" t="inlineStr">
        <is>
          <t>alt</t>
        </is>
      </c>
      <c r="O2422" t="n">
        <v>90</v>
      </c>
      <c r="P2422" t="n">
        <v>0.1115</v>
      </c>
      <c r="Q2422" t="n">
        <v>100</v>
      </c>
      <c r="R2422" t="n">
        <v>0.3823</v>
      </c>
      <c r="S2422">
        <f>IMAGE("https://mitra.stanford.edu/kundaje/oak/projects/neuro-variants/variant_position/credible/roussos_2024/variant_figures/roussos_2024.infant.GLU/rs729824_count_position.png",4,220,900)</f>
        <v/>
      </c>
      <c r="T2422">
        <f>IMAGE("https://mitra.stanford.edu/kundaje/oak/projects/neuro-variants/variant_position/credible/roussos_2024/variant_figures/roussos_2024.infant.GLU/rs729824_profile_position.png",4,220,900)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-0.0208871076</v>
      </c>
      <c r="G2423" t="n">
        <v>0.2466356985241942</v>
      </c>
      <c r="H2423" t="n">
        <v>0.0186776850505688</v>
      </c>
      <c r="I2423" t="n">
        <v>0.2222155913595646</v>
      </c>
      <c r="J2423" t="n">
        <v>0.3300469587072025</v>
      </c>
      <c r="K2423" t="n">
        <v>0.0609044960988842</v>
      </c>
      <c r="L2423" t="b">
        <v>0</v>
      </c>
      <c r="M2423" t="b">
        <v>0</v>
      </c>
      <c r="N2423" t="inlineStr">
        <is>
          <t>ref</t>
        </is>
      </c>
      <c r="O2423" t="n">
        <v>-65</v>
      </c>
      <c r="P2423" t="n">
        <v>0.002594</v>
      </c>
      <c r="Q2423" t="n">
        <v>-50</v>
      </c>
      <c r="R2423" t="n">
        <v>0.01465</v>
      </c>
      <c r="S2423">
        <f>IMAGE("https://mitra.stanford.edu/kundaje/oak/projects/neuro-variants/variant_position/credible/roussos_2024/variant_figures/roussos_2024.infant.GLU/rs495146_count_position.png",4,220,900)</f>
        <v/>
      </c>
      <c r="T2423">
        <f>IMAGE("https://mitra.stanford.edu/kundaje/oak/projects/neuro-variants/variant_position/credible/roussos_2024/variant_figures/roussos_2024.infant.GLU/rs495146_profile_position.png",4,220,900)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-0.042386104</v>
      </c>
      <c r="G2424" t="n">
        <v>0.2131831512416053</v>
      </c>
      <c r="H2424" t="n">
        <v>0.0103835698092021</v>
      </c>
      <c r="I2424" t="n">
        <v>0.693635816955099</v>
      </c>
      <c r="J2424" t="n">
        <v>0.1625311404572411</v>
      </c>
      <c r="K2424" t="n">
        <v>0.1397387239443335</v>
      </c>
      <c r="L2424" t="b">
        <v>0</v>
      </c>
      <c r="M2424" t="b">
        <v>0</v>
      </c>
      <c r="N2424" t="inlineStr">
        <is>
          <t>ref</t>
        </is>
      </c>
      <c r="O2424" t="n">
        <v>-100</v>
      </c>
      <c r="P2424" t="n">
        <v>0.01685</v>
      </c>
      <c r="Q2424" t="n">
        <v>80</v>
      </c>
      <c r="R2424" t="n">
        <v>0.2373</v>
      </c>
      <c r="S2424">
        <f>IMAGE("https://mitra.stanford.edu/kundaje/oak/projects/neuro-variants/variant_position/credible/roussos_2024/variant_figures/roussos_2024.infant.GLU/rs6012680_count_position.png",4,220,900)</f>
        <v/>
      </c>
      <c r="T2424">
        <f>IMAGE("https://mitra.stanford.edu/kundaje/oak/projects/neuro-variants/variant_position/credible/roussos_2024/variant_figures/roussos_2024.infant.GLU/rs6012680_profile_position.png",4,220,900)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-0.0480578762</v>
      </c>
      <c r="G2425" t="n">
        <v>0.1866938551484392</v>
      </c>
      <c r="H2425" t="n">
        <v>0.0149258463995789</v>
      </c>
      <c r="I2425" t="n">
        <v>0.3669895163161166</v>
      </c>
      <c r="J2425" t="n">
        <v>0.0047002799885358</v>
      </c>
      <c r="K2425" t="n">
        <v>0.7828784477054404</v>
      </c>
      <c r="L2425" t="b">
        <v>0</v>
      </c>
      <c r="M2425" t="b">
        <v>0</v>
      </c>
      <c r="N2425" t="inlineStr">
        <is>
          <t>ref</t>
        </is>
      </c>
      <c r="O2425" t="n">
        <v>-30</v>
      </c>
      <c r="P2425" t="n">
        <v>0.002625</v>
      </c>
      <c r="Q2425" t="n">
        <v>-20</v>
      </c>
      <c r="R2425" t="n">
        <v>0.03592</v>
      </c>
      <c r="S2425">
        <f>IMAGE("https://mitra.stanford.edu/kundaje/oak/projects/neuro-variants/variant_position/credible/roussos_2024/variant_figures/roussos_2024.infant.GLU/rs1810404_count_position.png",4,220,900)</f>
        <v/>
      </c>
      <c r="T2425">
        <f>IMAGE("https://mitra.stanford.edu/kundaje/oak/projects/neuro-variants/variant_position/credible/roussos_2024/variant_figures/roussos_2024.infant.GLU/rs1810404_profile_position.png",4,220,900)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-0.0353997134</v>
      </c>
      <c r="G2426" t="n">
        <v>0.2690489610378608</v>
      </c>
      <c r="H2426" t="n">
        <v>0.0083239516750828</v>
      </c>
      <c r="I2426" t="n">
        <v>0.8787162857312527</v>
      </c>
      <c r="J2426" t="n">
        <v>0.061390242289292</v>
      </c>
      <c r="K2426" t="n">
        <v>0.3037803323977063</v>
      </c>
      <c r="L2426" t="b">
        <v>0</v>
      </c>
      <c r="M2426" t="b">
        <v>0</v>
      </c>
      <c r="N2426" t="inlineStr">
        <is>
          <t>ref</t>
        </is>
      </c>
      <c r="O2426" t="n">
        <v>95</v>
      </c>
      <c r="P2426" t="n">
        <v>0.0487</v>
      </c>
      <c r="Q2426" t="n">
        <v>95</v>
      </c>
      <c r="R2426" t="n">
        <v>0.1874</v>
      </c>
      <c r="S2426">
        <f>IMAGE("https://mitra.stanford.edu/kundaje/oak/projects/neuro-variants/variant_position/credible/roussos_2024/variant_figures/roussos_2024.infant.GLU/rs34570637_count_position.png",4,220,900)</f>
        <v/>
      </c>
      <c r="T2426">
        <f>IMAGE("https://mitra.stanford.edu/kundaje/oak/projects/neuro-variants/variant_position/credible/roussos_2024/variant_figures/roussos_2024.infant.GLU/rs34570637_profile_position.png",4,220,900)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0.01237782052</v>
      </c>
      <c r="G2427" t="n">
        <v>0.5093965398362895</v>
      </c>
      <c r="H2427" t="n">
        <v>0.0143914820500395</v>
      </c>
      <c r="I2427" t="n">
        <v>0.3914045664537862</v>
      </c>
      <c r="J2427" t="n">
        <v>0.1499294517074891</v>
      </c>
      <c r="K2427" t="n">
        <v>0.1494266571704797</v>
      </c>
      <c r="L2427" t="b">
        <v>0</v>
      </c>
      <c r="M2427" t="b">
        <v>0</v>
      </c>
      <c r="N2427" t="inlineStr">
        <is>
          <t>alt</t>
        </is>
      </c>
      <c r="O2427" t="n">
        <v>95</v>
      </c>
      <c r="P2427" t="n">
        <v>0.009339999999999999</v>
      </c>
      <c r="Q2427" t="n">
        <v>30</v>
      </c>
      <c r="R2427" t="n">
        <v>0.07335999999999999</v>
      </c>
      <c r="S2427">
        <f>IMAGE("https://mitra.stanford.edu/kundaje/oak/projects/neuro-variants/variant_position/credible/roussos_2024/variant_figures/roussos_2024.infant.GLU/rs73172392_count_position.png",4,220,900)</f>
        <v/>
      </c>
      <c r="T2427">
        <f>IMAGE("https://mitra.stanford.edu/kundaje/oak/projects/neuro-variants/variant_position/credible/roussos_2024/variant_figures/roussos_2024.infant.GLU/rs73172392_profile_position.png",4,220,900)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0.00283755306</v>
      </c>
      <c r="G2428" t="n">
        <v>0.8233313986884595</v>
      </c>
      <c r="H2428" t="n">
        <v>0.0286541647048666</v>
      </c>
      <c r="I2428" t="n">
        <v>0.0675274762320843</v>
      </c>
      <c r="J2428" t="n">
        <v>0.0404373994135672</v>
      </c>
      <c r="K2428" t="n">
        <v>0.3887723860437671</v>
      </c>
      <c r="L2428" t="b">
        <v>0</v>
      </c>
      <c r="M2428" t="b">
        <v>0</v>
      </c>
      <c r="N2428" t="inlineStr">
        <is>
          <t>alt</t>
        </is>
      </c>
      <c r="O2428" t="n">
        <v>-100</v>
      </c>
      <c r="P2428" t="n">
        <v>0.1018</v>
      </c>
      <c r="Q2428" t="n">
        <v>-100</v>
      </c>
      <c r="R2428" t="n">
        <v>0.1416</v>
      </c>
      <c r="S2428">
        <f>IMAGE("https://mitra.stanford.edu/kundaje/oak/projects/neuro-variants/variant_position/credible/roussos_2024/variant_figures/roussos_2024.infant.GLU/rs2826495_count_position.png",4,220,900)</f>
        <v/>
      </c>
      <c r="T2428">
        <f>IMAGE("https://mitra.stanford.edu/kundaje/oak/projects/neuro-variants/variant_position/credible/roussos_2024/variant_figures/roussos_2024.infant.GLU/rs2826495_profile_position.png",4,220,900)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-0.025959503274</v>
      </c>
      <c r="G2429" t="n">
        <v>0.3816492413394711</v>
      </c>
      <c r="H2429" t="n">
        <v>0.0317304474951525</v>
      </c>
      <c r="I2429" t="n">
        <v>0.0476241572172264</v>
      </c>
      <c r="J2429" t="n">
        <v>0.3158954121563527</v>
      </c>
      <c r="K2429" t="n">
        <v>0.0631722340299626</v>
      </c>
      <c r="L2429" t="b">
        <v>0</v>
      </c>
      <c r="M2429" t="b">
        <v>0</v>
      </c>
      <c r="N2429" t="inlineStr">
        <is>
          <t>ref</t>
        </is>
      </c>
      <c r="O2429" t="n">
        <v>-100</v>
      </c>
      <c r="P2429" t="n">
        <v>0.0411</v>
      </c>
      <c r="Q2429" t="n">
        <v>-100</v>
      </c>
      <c r="R2429" t="n">
        <v>0.1353</v>
      </c>
      <c r="S2429">
        <f>IMAGE("https://mitra.stanford.edu/kundaje/oak/projects/neuro-variants/variant_position/credible/roussos_2024/variant_figures/roussos_2024.infant.GLU/rs3746862_count_position.png",4,220,900)</f>
        <v/>
      </c>
      <c r="T2429">
        <f>IMAGE("https://mitra.stanford.edu/kundaje/oak/projects/neuro-variants/variant_position/credible/roussos_2024/variant_figures/roussos_2024.infant.GLU/rs3746862_profile_position.png",4,220,900)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-0.0553385654</v>
      </c>
      <c r="G2430" t="n">
        <v>0.1453856542430291</v>
      </c>
      <c r="H2430" t="n">
        <v>0.0135674288533809</v>
      </c>
      <c r="I2430" t="n">
        <v>0.4435917668683097</v>
      </c>
      <c r="J2430" t="n">
        <v>0.0457516700103617</v>
      </c>
      <c r="K2430" t="n">
        <v>0.365781920364981</v>
      </c>
      <c r="L2430" t="b">
        <v>0</v>
      </c>
      <c r="M2430" t="b">
        <v>0</v>
      </c>
      <c r="N2430" t="inlineStr">
        <is>
          <t>ref</t>
        </is>
      </c>
      <c r="O2430" t="n">
        <v>80</v>
      </c>
      <c r="P2430" t="n">
        <v>0.004074</v>
      </c>
      <c r="Q2430" t="n">
        <v>100</v>
      </c>
      <c r="R2430" t="n">
        <v>0.09089999999999999</v>
      </c>
      <c r="S2430">
        <f>IMAGE("https://mitra.stanford.edu/kundaje/oak/projects/neuro-variants/variant_position/credible/roussos_2024/variant_figures/roussos_2024.infant.GLU/rs4819527_count_position.png",4,220,900)</f>
        <v/>
      </c>
      <c r="T2430">
        <f>IMAGE("https://mitra.stanford.edu/kundaje/oak/projects/neuro-variants/variant_position/credible/roussos_2024/variant_figures/roussos_2024.infant.GLU/rs4819527_profile_position.png",4,220,900)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-0.1188638359999999</v>
      </c>
      <c r="G2431" t="n">
        <v>0.0361787746948254</v>
      </c>
      <c r="H2431" t="n">
        <v>0.0222491041240126</v>
      </c>
      <c r="I2431" t="n">
        <v>0.1388918197546033</v>
      </c>
      <c r="J2431" t="n">
        <v>0.9414945214841596</v>
      </c>
      <c r="K2431" t="n">
        <v>0.0014876653747043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0.01247</v>
      </c>
      <c r="Q2431" t="n">
        <v>-15</v>
      </c>
      <c r="R2431" t="n">
        <v>0.03925</v>
      </c>
      <c r="S2431">
        <f>IMAGE("https://mitra.stanford.edu/kundaje/oak/projects/neuro-variants/variant_position/credible/roussos_2024/variant_figures/roussos_2024.infant.GLU/rs61174903_count_position.png",4,220,900)</f>
        <v/>
      </c>
      <c r="T2431">
        <f>IMAGE("https://mitra.stanford.edu/kundaje/oak/projects/neuro-variants/variant_position/credible/roussos_2024/variant_figures/roussos_2024.infant.GLU/rs61174903_profile_position.png",4,220,900)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-0.052201737</v>
      </c>
      <c r="G2432" t="n">
        <v>0.1621193528611896</v>
      </c>
      <c r="H2432" t="n">
        <v>0.0146608397492911</v>
      </c>
      <c r="I2432" t="n">
        <v>0.3809993226308126</v>
      </c>
      <c r="J2432" t="n">
        <v>0.1605227187548225</v>
      </c>
      <c r="K2432" t="n">
        <v>0.1415804377599945</v>
      </c>
      <c r="L2432" t="b">
        <v>0</v>
      </c>
      <c r="M2432" t="b">
        <v>0</v>
      </c>
      <c r="N2432" t="inlineStr">
        <is>
          <t>ref</t>
        </is>
      </c>
      <c r="O2432" t="n">
        <v>-85</v>
      </c>
      <c r="P2432" t="n">
        <v>0.01256</v>
      </c>
      <c r="Q2432" t="n">
        <v>100</v>
      </c>
      <c r="R2432" t="n">
        <v>0.104</v>
      </c>
      <c r="S2432">
        <f>IMAGE("https://mitra.stanford.edu/kundaje/oak/projects/neuro-variants/variant_position/credible/roussos_2024/variant_figures/roussos_2024.infant.GLU/rs138647105_count_position.png",4,220,900)</f>
        <v/>
      </c>
      <c r="T2432">
        <f>IMAGE("https://mitra.stanford.edu/kundaje/oak/projects/neuro-variants/variant_position/credible/roussos_2024/variant_figures/roussos_2024.infant.GLU/rs138647105_profile_position.png",4,220,900)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-0.00694887242</v>
      </c>
      <c r="G2433" t="n">
        <v>0.705913573727208</v>
      </c>
      <c r="H2433" t="n">
        <v>0.0140116562486823</v>
      </c>
      <c r="I2433" t="n">
        <v>0.4153892851443199</v>
      </c>
      <c r="J2433" t="n">
        <v>0.08106329504618701</v>
      </c>
      <c r="K2433" t="n">
        <v>0.2506217915682146</v>
      </c>
      <c r="L2433" t="b">
        <v>0</v>
      </c>
      <c r="M2433" t="b">
        <v>0</v>
      </c>
      <c r="N2433" t="inlineStr">
        <is>
          <t>ref</t>
        </is>
      </c>
      <c r="O2433" t="n">
        <v>-100</v>
      </c>
      <c r="P2433" t="n">
        <v>0.01799</v>
      </c>
      <c r="Q2433" t="n">
        <v>100</v>
      </c>
      <c r="R2433" t="n">
        <v>0.05475</v>
      </c>
      <c r="S2433">
        <f>IMAGE("https://mitra.stanford.edu/kundaje/oak/projects/neuro-variants/variant_position/credible/roussos_2024/variant_figures/roussos_2024.infant.GLU/rs7349039_count_position.png",4,220,900)</f>
        <v/>
      </c>
      <c r="T2433">
        <f>IMAGE("https://mitra.stanford.edu/kundaje/oak/projects/neuro-variants/variant_position/credible/roussos_2024/variant_figures/roussos_2024.infant.GLU/rs7349039_profile_position.png",4,220,900)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0.0386721948</v>
      </c>
      <c r="G2434" t="n">
        <v>0.2312877187023199</v>
      </c>
      <c r="H2434" t="n">
        <v>0.009649759790784401</v>
      </c>
      <c r="I2434" t="n">
        <v>0.7738773214280832</v>
      </c>
      <c r="J2434" t="n">
        <v>0.0095174055865428</v>
      </c>
      <c r="K2434" t="n">
        <v>0.6688388033174963</v>
      </c>
      <c r="L2434" t="b">
        <v>0</v>
      </c>
      <c r="M2434" t="b">
        <v>0</v>
      </c>
      <c r="N2434" t="inlineStr">
        <is>
          <t>alt</t>
        </is>
      </c>
      <c r="O2434" t="n">
        <v>80</v>
      </c>
      <c r="P2434" t="n">
        <v>0.09143</v>
      </c>
      <c r="Q2434" t="n">
        <v>90</v>
      </c>
      <c r="R2434" t="n">
        <v>0.06107</v>
      </c>
      <c r="S2434">
        <f>IMAGE("https://mitra.stanford.edu/kundaje/oak/projects/neuro-variants/variant_position/credible/roussos_2024/variant_figures/roussos_2024.infant.GLU/rs75974641_count_position.png",4,220,900)</f>
        <v/>
      </c>
      <c r="T2434">
        <f>IMAGE("https://mitra.stanford.edu/kundaje/oak/projects/neuro-variants/variant_position/credible/roussos_2024/variant_figures/roussos_2024.infant.GLU/rs75974641_profile_position.png",4,220,900)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-0.315075124</v>
      </c>
      <c r="G2435" t="n">
        <v>0.0025366540932445</v>
      </c>
      <c r="H2435" t="n">
        <v>0.0370541220780807</v>
      </c>
      <c r="I2435" t="n">
        <v>0.0272495126066623</v>
      </c>
      <c r="J2435" t="n">
        <v>0.07051191604753181</v>
      </c>
      <c r="K2435" t="n">
        <v>0.2788454583331116</v>
      </c>
      <c r="L2435" t="b">
        <v>1</v>
      </c>
      <c r="M2435" t="b">
        <v>1</v>
      </c>
      <c r="N2435" t="inlineStr">
        <is>
          <t>ref</t>
        </is>
      </c>
      <c r="O2435" t="n">
        <v>100</v>
      </c>
      <c r="P2435" t="n">
        <v>0.003235</v>
      </c>
      <c r="Q2435" t="n">
        <v>-65</v>
      </c>
      <c r="R2435" t="n">
        <v>0.0669</v>
      </c>
      <c r="S2435">
        <f>IMAGE("https://mitra.stanford.edu/kundaje/oak/projects/neuro-variants/variant_position/credible/roussos_2024/variant_figures/roussos_2024.infant.GLU/rs8136346_count_position.png",4,220,900)</f>
        <v/>
      </c>
      <c r="T2435">
        <f>IMAGE("https://mitra.stanford.edu/kundaje/oak/projects/neuro-variants/variant_position/credible/roussos_2024/variant_figures/roussos_2024.infant.GLU/rs8136346_profile_position.png",4,220,900)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0.1737684872</v>
      </c>
      <c r="G2436" t="n">
        <v>0.0153772302994734</v>
      </c>
      <c r="H2436" t="n">
        <v>0.0289823755035018</v>
      </c>
      <c r="I2436" t="n">
        <v>0.064701503555419</v>
      </c>
      <c r="J2436" t="n">
        <v>0.2208999316563415</v>
      </c>
      <c r="K2436" t="n">
        <v>0.0997963920847927</v>
      </c>
      <c r="L2436" t="b">
        <v>1</v>
      </c>
      <c r="M2436" t="b">
        <v>0</v>
      </c>
      <c r="N2436" t="inlineStr">
        <is>
          <t>alt</t>
        </is>
      </c>
      <c r="O2436" t="n">
        <v>100</v>
      </c>
      <c r="P2436" t="n">
        <v>0.005432</v>
      </c>
      <c r="Q2436" t="n">
        <v>100</v>
      </c>
      <c r="R2436" t="n">
        <v>0.09520000000000001</v>
      </c>
      <c r="S2436">
        <f>IMAGE("https://mitra.stanford.edu/kundaje/oak/projects/neuro-variants/variant_position/credible/roussos_2024/variant_figures/roussos_2024.infant.GLU/rs6001259_count_position.png",4,220,900)</f>
        <v/>
      </c>
      <c r="T2436">
        <f>IMAGE("https://mitra.stanford.edu/kundaje/oak/projects/neuro-variants/variant_position/credible/roussos_2024/variant_figures/roussos_2024.infant.GLU/rs6001259_profile_position.png",4,220,900)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-0.0866918015999999</v>
      </c>
      <c r="G2437" t="n">
        <v>0.0663730512506522</v>
      </c>
      <c r="H2437" t="n">
        <v>0.0195788833039604</v>
      </c>
      <c r="I2437" t="n">
        <v>0.195510600221383</v>
      </c>
      <c r="J2437" t="n">
        <v>0.4674596000793667</v>
      </c>
      <c r="K2437" t="n">
        <v>0.0346333959556783</v>
      </c>
      <c r="L2437" t="b">
        <v>0</v>
      </c>
      <c r="M2437" t="b">
        <v>0</v>
      </c>
      <c r="N2437" t="inlineStr">
        <is>
          <t>ref</t>
        </is>
      </c>
      <c r="O2437" t="n">
        <v>100</v>
      </c>
      <c r="P2437" t="n">
        <v>0.08325</v>
      </c>
      <c r="Q2437" t="n">
        <v>-65</v>
      </c>
      <c r="R2437" t="n">
        <v>0.08276</v>
      </c>
      <c r="S2437">
        <f>IMAGE("https://mitra.stanford.edu/kundaje/oak/projects/neuro-variants/variant_position/credible/roussos_2024/variant_figures/roussos_2024.infant.GLU/rs1053197_count_position.png",4,220,900)</f>
        <v/>
      </c>
      <c r="T2437">
        <f>IMAGE("https://mitra.stanford.edu/kundaje/oak/projects/neuro-variants/variant_position/credible/roussos_2024/variant_figures/roussos_2024.infant.GLU/rs1053197_profile_position.png",4,220,900)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0.0130569944999999</v>
      </c>
      <c r="G2438" t="n">
        <v>0.5085269997837411</v>
      </c>
      <c r="H2438" t="n">
        <v>0.0214925384557075</v>
      </c>
      <c r="I2438" t="n">
        <v>0.1536584944683398</v>
      </c>
      <c r="J2438" t="n">
        <v>0.07943627505015539</v>
      </c>
      <c r="K2438" t="n">
        <v>0.2561143621509315</v>
      </c>
      <c r="L2438" t="b">
        <v>0</v>
      </c>
      <c r="M2438" t="b">
        <v>0</v>
      </c>
      <c r="N2438" t="inlineStr">
        <is>
          <t>alt</t>
        </is>
      </c>
      <c r="O2438" t="n">
        <v>-100</v>
      </c>
      <c r="P2438" t="n">
        <v>0.02411</v>
      </c>
      <c r="Q2438" t="n">
        <v>-40</v>
      </c>
      <c r="R2438" t="n">
        <v>0.04645</v>
      </c>
      <c r="S2438">
        <f>IMAGE("https://mitra.stanford.edu/kundaje/oak/projects/neuro-variants/variant_position/credible/roussos_2024/variant_figures/roussos_2024.infant.GLU/rs5750857_count_position.png",4,220,900)</f>
        <v/>
      </c>
      <c r="T2438">
        <f>IMAGE("https://mitra.stanford.edu/kundaje/oak/projects/neuro-variants/variant_position/credible/roussos_2024/variant_figures/roussos_2024.infant.GLU/rs5750857_profile_position.png",4,220,900)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0.0335846154</v>
      </c>
      <c r="G2439" t="n">
        <v>0.2790849997493582</v>
      </c>
      <c r="H2439" t="n">
        <v>0.010436131048129</v>
      </c>
      <c r="I2439" t="n">
        <v>0.6929059488644997</v>
      </c>
      <c r="J2439" t="n">
        <v>0.5351110033289975</v>
      </c>
      <c r="K2439" t="n">
        <v>0.0268761357152989</v>
      </c>
      <c r="L2439" t="b">
        <v>0</v>
      </c>
      <c r="M2439" t="b">
        <v>0</v>
      </c>
      <c r="N2439" t="inlineStr">
        <is>
          <t>alt</t>
        </is>
      </c>
      <c r="O2439" t="n">
        <v>100</v>
      </c>
      <c r="P2439" t="n">
        <v>0.04913</v>
      </c>
      <c r="Q2439" t="n">
        <v>50</v>
      </c>
      <c r="R2439" t="n">
        <v>0.2522</v>
      </c>
      <c r="S2439">
        <f>IMAGE("https://mitra.stanford.edu/kundaje/oak/projects/neuro-variants/variant_position/credible/roussos_2024/variant_figures/roussos_2024.infant.GLU/rs136828_count_position.png",4,220,900)</f>
        <v/>
      </c>
      <c r="T2439">
        <f>IMAGE("https://mitra.stanford.edu/kundaje/oak/projects/neuro-variants/variant_position/credible/roussos_2024/variant_figures/roussos_2024.infant.GLU/rs136828_profile_position.png",4,220,900)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-0.0235324502</v>
      </c>
      <c r="G2440" t="n">
        <v>0.3976038299738229</v>
      </c>
      <c r="H2440" t="n">
        <v>0.0707779652769437</v>
      </c>
      <c r="I2440" t="n">
        <v>0.0013197901778565</v>
      </c>
      <c r="J2440" t="n">
        <v>0.0127934919200158</v>
      </c>
      <c r="K2440" t="n">
        <v>0.6286494132733659</v>
      </c>
      <c r="L2440" t="b">
        <v>1</v>
      </c>
      <c r="M2440" t="b">
        <v>0</v>
      </c>
      <c r="N2440" t="inlineStr">
        <is>
          <t>ref</t>
        </is>
      </c>
      <c r="O2440" t="n">
        <v>20</v>
      </c>
      <c r="P2440" t="n">
        <v>0.001953</v>
      </c>
      <c r="Q2440" t="n">
        <v>-90</v>
      </c>
      <c r="R2440" t="n">
        <v>0.0597</v>
      </c>
      <c r="S2440">
        <f>IMAGE("https://mitra.stanford.edu/kundaje/oak/projects/neuro-variants/variant_position/credible/roussos_2024/variant_figures/roussos_2024.infant.GLU/rs35060074_count_position.png",4,220,900)</f>
        <v/>
      </c>
      <c r="T2440">
        <f>IMAGE("https://mitra.stanford.edu/kundaje/oak/projects/neuro-variants/variant_position/credible/roussos_2024/variant_figures/roussos_2024.infant.GLU/rs35060074_profile_position.png",4,220,900)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0.063791741</v>
      </c>
      <c r="G2441" t="n">
        <v>0.1160594964499221</v>
      </c>
      <c r="H2441" t="n">
        <v>0.0168158055153034</v>
      </c>
      <c r="I2441" t="n">
        <v>0.2871780289943063</v>
      </c>
      <c r="J2441" t="n">
        <v>0.9971714543971428</v>
      </c>
      <c r="K2441" t="n">
        <v>2.311576937153089e-06</v>
      </c>
      <c r="L2441" t="b">
        <v>0</v>
      </c>
      <c r="M2441" t="b">
        <v>0</v>
      </c>
      <c r="N2441" t="inlineStr">
        <is>
          <t>alt</t>
        </is>
      </c>
      <c r="O2441" t="n">
        <v>-90</v>
      </c>
      <c r="P2441" t="n">
        <v>0.01114</v>
      </c>
      <c r="Q2441" t="n">
        <v>-95</v>
      </c>
      <c r="R2441" t="n">
        <v>0.06934</v>
      </c>
      <c r="S2441">
        <f>IMAGE("https://mitra.stanford.edu/kundaje/oak/projects/neuro-variants/variant_position/credible/roussos_2024/variant_figures/roussos_2024.infant.GLU/rs2234059_count_position.png",4,220,900)</f>
        <v/>
      </c>
      <c r="T2441">
        <f>IMAGE("https://mitra.stanford.edu/kundaje/oak/projects/neuro-variants/variant_position/credible/roussos_2024/variant_figures/roussos_2024.infant.GLU/rs2234059_profile_position.png",4,220,900)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0.1555116032</v>
      </c>
      <c r="G2442" t="n">
        <v>0.0191391228833485</v>
      </c>
      <c r="H2442" t="n">
        <v>0.0359413682105668</v>
      </c>
      <c r="I2442" t="n">
        <v>0.0305251759425458</v>
      </c>
      <c r="J2442" t="n">
        <v>0.0816596485813178</v>
      </c>
      <c r="K2442" t="n">
        <v>0.2433867635819098</v>
      </c>
      <c r="L2442" t="b">
        <v>1</v>
      </c>
      <c r="M2442" t="b">
        <v>0</v>
      </c>
      <c r="N2442" t="inlineStr">
        <is>
          <t>alt</t>
        </is>
      </c>
      <c r="O2442" t="n">
        <v>100</v>
      </c>
      <c r="P2442" t="n">
        <v>0.01372</v>
      </c>
      <c r="Q2442" t="n">
        <v>100</v>
      </c>
      <c r="R2442" t="n">
        <v>0.0878</v>
      </c>
      <c r="S2442">
        <f>IMAGE("https://mitra.stanford.edu/kundaje/oak/projects/neuro-variants/variant_position/credible/roussos_2024/variant_figures/roussos_2024.infant.GLU/rs2273071_count_position.png",4,220,900)</f>
        <v/>
      </c>
      <c r="T2442">
        <f>IMAGE("https://mitra.stanford.edu/kundaje/oak/projects/neuro-variants/variant_position/credible/roussos_2024/variant_figures/roussos_2024.infant.GLU/rs2273071_profile_position.png",4,220,900)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-0.0262232375999999</v>
      </c>
      <c r="G2443" t="n">
        <v>0.3573583459017859</v>
      </c>
      <c r="H2443" t="n">
        <v>0.0120798318836136</v>
      </c>
      <c r="I2443" t="n">
        <v>0.550631755566828</v>
      </c>
      <c r="J2443" t="n">
        <v>0.0958685156198328</v>
      </c>
      <c r="K2443" t="n">
        <v>0.2224970876659862</v>
      </c>
      <c r="L2443" t="b">
        <v>0</v>
      </c>
      <c r="M2443" t="b">
        <v>0</v>
      </c>
      <c r="N2443" t="inlineStr">
        <is>
          <t>ref</t>
        </is>
      </c>
      <c r="O2443" t="n">
        <v>-100</v>
      </c>
      <c r="P2443" t="n">
        <v>0.01239</v>
      </c>
      <c r="Q2443" t="n">
        <v>-100</v>
      </c>
      <c r="R2443" t="n">
        <v>0.0563</v>
      </c>
      <c r="S2443">
        <f>IMAGE("https://mitra.stanford.edu/kundaje/oak/projects/neuro-variants/variant_position/credible/roussos_2024/variant_figures/roussos_2024.infant.GLU/rs10154646_count_position.png",4,220,900)</f>
        <v/>
      </c>
      <c r="T2443">
        <f>IMAGE("https://mitra.stanford.edu/kundaje/oak/projects/neuro-variants/variant_position/credible/roussos_2024/variant_figures/roussos_2024.infant.GLU/rs10154646_profile_position.png",4,220,900)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-0.0305950041</v>
      </c>
      <c r="G2444" t="n">
        <v>0.2448721714548275</v>
      </c>
      <c r="H2444" t="n">
        <v>0.0109485686891082</v>
      </c>
      <c r="I2444" t="n">
        <v>0.6149065060124319</v>
      </c>
      <c r="J2444" t="n">
        <v>0.0668478141052492</v>
      </c>
      <c r="K2444" t="n">
        <v>0.2862282374486386</v>
      </c>
      <c r="L2444" t="b">
        <v>0</v>
      </c>
      <c r="M2444" t="b">
        <v>0</v>
      </c>
      <c r="N2444" t="inlineStr">
        <is>
          <t>ref</t>
        </is>
      </c>
      <c r="O2444" t="n">
        <v>-100</v>
      </c>
      <c r="P2444" t="n">
        <v>0.034</v>
      </c>
      <c r="Q2444" t="n">
        <v>-45</v>
      </c>
      <c r="R2444" t="n">
        <v>0.1129</v>
      </c>
      <c r="S2444">
        <f>IMAGE("https://mitra.stanford.edu/kundaje/oak/projects/neuro-variants/variant_position/credible/roussos_2024/variant_figures/roussos_2024.infant.GLU/rs76365544_count_position.png",4,220,900)</f>
        <v/>
      </c>
      <c r="T2444">
        <f>IMAGE("https://mitra.stanford.edu/kundaje/oak/projects/neuro-variants/variant_position/credible/roussos_2024/variant_figures/roussos_2024.infant.GLU/rs76365544_profile_position.png",4,220,900)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-0.1769098119999999</v>
      </c>
      <c r="G2445" t="n">
        <v>0.0144053877693547</v>
      </c>
      <c r="H2445" t="n">
        <v>0.0286694017444771</v>
      </c>
      <c r="I2445" t="n">
        <v>0.0684447909311551</v>
      </c>
      <c r="J2445" t="n">
        <v>0.062908132895346</v>
      </c>
      <c r="K2445" t="n">
        <v>0.2976979555972659</v>
      </c>
      <c r="L2445" t="b">
        <v>1</v>
      </c>
      <c r="M2445" t="b">
        <v>0</v>
      </c>
      <c r="N2445" t="inlineStr">
        <is>
          <t>ref</t>
        </is>
      </c>
      <c r="O2445" t="n">
        <v>50</v>
      </c>
      <c r="P2445" t="n">
        <v>0.02335</v>
      </c>
      <c r="Q2445" t="n">
        <v>85</v>
      </c>
      <c r="R2445" t="n">
        <v>0.1218</v>
      </c>
      <c r="S2445">
        <f>IMAGE("https://mitra.stanford.edu/kundaje/oak/projects/neuro-variants/variant_position/credible/roussos_2024/variant_figures/roussos_2024.infant.GLU/rs138891_count_position.png",4,220,900)</f>
        <v/>
      </c>
      <c r="T2445">
        <f>IMAGE("https://mitra.stanford.edu/kundaje/oak/projects/neuro-variants/variant_position/credible/roussos_2024/variant_figures/roussos_2024.infant.GLU/rs138891_profile_position.png",4,220,900)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-0.02449072692</v>
      </c>
      <c r="G2446" t="n">
        <v>0.4135550850629055</v>
      </c>
      <c r="H2446" t="n">
        <v>0.0406730643247954</v>
      </c>
      <c r="I2446" t="n">
        <v>0.0188534226241933</v>
      </c>
      <c r="J2446" t="n">
        <v>0.09215811636058981</v>
      </c>
      <c r="K2446" t="n">
        <v>0.22393054244447</v>
      </c>
      <c r="L2446" t="b">
        <v>1</v>
      </c>
      <c r="M2446" t="b">
        <v>0</v>
      </c>
      <c r="N2446" t="inlineStr">
        <is>
          <t>ref</t>
        </is>
      </c>
      <c r="O2446" t="n">
        <v>-100</v>
      </c>
      <c r="P2446" t="n">
        <v>0.02466</v>
      </c>
      <c r="Q2446" t="n">
        <v>-55</v>
      </c>
      <c r="R2446" t="n">
        <v>0.04037</v>
      </c>
      <c r="S2446">
        <f>IMAGE("https://mitra.stanford.edu/kundaje/oak/projects/neuro-variants/variant_position/credible/roussos_2024/variant_figures/roussos_2024.infant.GLU/rs2319458_count_position.png",4,220,900)</f>
        <v/>
      </c>
      <c r="T2446">
        <f>IMAGE("https://mitra.stanford.edu/kundaje/oak/projects/neuro-variants/variant_position/credible/roussos_2024/variant_figures/roussos_2024.infant.GLU/rs2319458_profile_position.png",4,220,900)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-0.0139364405999999</v>
      </c>
      <c r="G2447" t="n">
        <v>0.5512449114554461</v>
      </c>
      <c r="H2447" t="n">
        <v>0.0507155735523917</v>
      </c>
      <c r="I2447" t="n">
        <v>0.0070921290636809</v>
      </c>
      <c r="J2447" t="n">
        <v>0.4326363015057651</v>
      </c>
      <c r="K2447" t="n">
        <v>0.0396218788180007</v>
      </c>
      <c r="L2447" t="b">
        <v>1</v>
      </c>
      <c r="M2447" t="b">
        <v>1</v>
      </c>
      <c r="N2447" t="inlineStr">
        <is>
          <t>ref</t>
        </is>
      </c>
      <c r="O2447" t="n">
        <v>-100</v>
      </c>
      <c r="P2447" t="n">
        <v>0.004456</v>
      </c>
      <c r="Q2447" t="n">
        <v>-100</v>
      </c>
      <c r="R2447" t="n">
        <v>0.4106</v>
      </c>
      <c r="S2447">
        <f>IMAGE("https://mitra.stanford.edu/kundaje/oak/projects/neuro-variants/variant_position/credible/roussos_2024/variant_figures/roussos_2024.infant.GLU/rs13056783_count_position.png",4,220,900)</f>
        <v/>
      </c>
      <c r="T2447">
        <f>IMAGE("https://mitra.stanford.edu/kundaje/oak/projects/neuro-variants/variant_position/credible/roussos_2024/variant_figures/roussos_2024.infant.GLU/rs13056783_profile_position.png",4,220,900)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0.15822697</v>
      </c>
      <c r="G2448" t="n">
        <v>0.0182736100559451</v>
      </c>
      <c r="H2448" t="n">
        <v>0.0342247595000777</v>
      </c>
      <c r="I2448" t="n">
        <v>0.0367507620098013</v>
      </c>
      <c r="J2448" t="n">
        <v>0.1413809828259</v>
      </c>
      <c r="K2448" t="n">
        <v>0.1674919675790145</v>
      </c>
      <c r="L2448" t="b">
        <v>1</v>
      </c>
      <c r="M2448" t="b">
        <v>0</v>
      </c>
      <c r="N2448" t="inlineStr">
        <is>
          <t>alt</t>
        </is>
      </c>
      <c r="O2448" t="n">
        <v>-100</v>
      </c>
      <c r="P2448" t="n">
        <v>0.07000000000000001</v>
      </c>
      <c r="Q2448" t="n">
        <v>-70</v>
      </c>
      <c r="R2448" t="n">
        <v>0.04578</v>
      </c>
      <c r="S2448">
        <f>IMAGE("https://mitra.stanford.edu/kundaje/oak/projects/neuro-variants/variant_position/credible/roussos_2024/variant_figures/roussos_2024.infant.GLU/rs2295409_count_position.png",4,220,900)</f>
        <v/>
      </c>
      <c r="T2448">
        <f>IMAGE("https://mitra.stanford.edu/kundaje/oak/projects/neuro-variants/variant_position/credible/roussos_2024/variant_figures/roussos_2024.infant.GLU/rs2295409_profile_position.png",4,220,900)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0.00218549482</v>
      </c>
      <c r="G2449" t="n">
        <v>0.784352839567764</v>
      </c>
      <c r="H2449" t="n">
        <v>0.0087198523946414</v>
      </c>
      <c r="I2449" t="n">
        <v>0.8452538535390424</v>
      </c>
      <c r="J2449" t="n">
        <v>0.08579333759562589</v>
      </c>
      <c r="K2449" t="n">
        <v>0.2492097042906274</v>
      </c>
      <c r="L2449" t="b">
        <v>0</v>
      </c>
      <c r="M2449" t="b">
        <v>0</v>
      </c>
      <c r="N2449" t="inlineStr">
        <is>
          <t>alt</t>
        </is>
      </c>
      <c r="O2449" t="n">
        <v>50</v>
      </c>
      <c r="P2449" t="n">
        <v>0.01018</v>
      </c>
      <c r="Q2449" t="n">
        <v>-80</v>
      </c>
      <c r="R2449" t="n">
        <v>0.1729</v>
      </c>
      <c r="S2449">
        <f>IMAGE("https://mitra.stanford.edu/kundaje/oak/projects/neuro-variants/variant_position/credible/roussos_2024/variant_figures/roussos_2024.infant.GLU/rs8139758_count_position.png",4,220,900)</f>
        <v/>
      </c>
      <c r="T2449">
        <f>IMAGE("https://mitra.stanford.edu/kundaje/oak/projects/neuro-variants/variant_position/credible/roussos_2024/variant_figures/roussos_2024.infant.GLU/rs8139758_profile_position.png",4,220,900)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-0.0330711268</v>
      </c>
      <c r="G2450" t="n">
        <v>0.2937196644557672</v>
      </c>
      <c r="H2450" t="n">
        <v>0.0114015656932879</v>
      </c>
      <c r="I2450" t="n">
        <v>0.6111387931470257</v>
      </c>
      <c r="J2450" t="n">
        <v>0.062901518992923</v>
      </c>
      <c r="K2450" t="n">
        <v>0.2994803616128567</v>
      </c>
      <c r="L2450" t="b">
        <v>0</v>
      </c>
      <c r="M2450" t="b">
        <v>0</v>
      </c>
      <c r="N2450" t="inlineStr">
        <is>
          <t>ref</t>
        </is>
      </c>
      <c r="O2450" t="n">
        <v>-70</v>
      </c>
      <c r="P2450" t="n">
        <v>0.1223</v>
      </c>
      <c r="Q2450" t="n">
        <v>-100</v>
      </c>
      <c r="R2450" t="n">
        <v>0.04272</v>
      </c>
      <c r="S2450">
        <f>IMAGE("https://mitra.stanford.edu/kundaje/oak/projects/neuro-variants/variant_position/credible/roussos_2024/variant_figures/roussos_2024.infant.GLU/rs5769761_count_position.png",4,220,900)</f>
        <v/>
      </c>
      <c r="T2450">
        <f>IMAGE("https://mitra.stanford.edu/kundaje/oak/projects/neuro-variants/variant_position/credible/roussos_2024/variant_figures/roussos_2024.infant.GLU/rs5769761_profile_position.png",4,220,900)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0.0210827584</v>
      </c>
      <c r="G2451" t="n">
        <v>0.44105646016721</v>
      </c>
      <c r="H2451" t="n">
        <v>0.0228680264121269</v>
      </c>
      <c r="I2451" t="n">
        <v>0.1294318596319956</v>
      </c>
      <c r="J2451" t="n">
        <v>0.0265471020084216</v>
      </c>
      <c r="K2451" t="n">
        <v>0.4841882922781849</v>
      </c>
      <c r="L2451" t="b">
        <v>0</v>
      </c>
      <c r="M2451" t="b">
        <v>0</v>
      </c>
      <c r="N2451" t="inlineStr">
        <is>
          <t>alt</t>
        </is>
      </c>
      <c r="O2451" t="n">
        <v>75</v>
      </c>
      <c r="P2451" t="n">
        <v>0.001907</v>
      </c>
      <c r="Q2451" t="n">
        <v>100</v>
      </c>
      <c r="R2451" t="n">
        <v>0.1289</v>
      </c>
      <c r="S2451">
        <f>IMAGE("https://mitra.stanford.edu/kundaje/oak/projects/neuro-variants/variant_position/credible/roussos_2024/variant_figures/roussos_2024.infant.GLU/rs5769762_count_position.png",4,220,900)</f>
        <v/>
      </c>
      <c r="T2451">
        <f>IMAGE("https://mitra.stanford.edu/kundaje/oak/projects/neuro-variants/variant_position/credible/roussos_2024/variant_figures/roussos_2024.infant.GLU/rs5769762_profile_position.png",4,220,900)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-0.03271321074</v>
      </c>
      <c r="G2452" t="n">
        <v>0.3144222281033978</v>
      </c>
      <c r="H2452" t="n">
        <v>0.0126597506265251</v>
      </c>
      <c r="I2452" t="n">
        <v>0.4993880006590154</v>
      </c>
      <c r="J2452" t="n">
        <v>0.2964538459842589</v>
      </c>
      <c r="K2452" t="n">
        <v>0.0700012015566561</v>
      </c>
      <c r="L2452" t="b">
        <v>0</v>
      </c>
      <c r="M2452" t="b">
        <v>0</v>
      </c>
      <c r="N2452" t="inlineStr">
        <is>
          <t>ref</t>
        </is>
      </c>
      <c r="O2452" t="n">
        <v>100</v>
      </c>
      <c r="P2452" t="n">
        <v>0.2074</v>
      </c>
      <c r="Q2452" t="n">
        <v>65</v>
      </c>
      <c r="R2452" t="n">
        <v>0.268</v>
      </c>
      <c r="S2452">
        <f>IMAGE("https://mitra.stanford.edu/kundaje/oak/projects/neuro-variants/variant_position/credible/roussos_2024/variant_figures/roussos_2024.infant.GLU/rs4824106_count_position.png",4,220,900)</f>
        <v/>
      </c>
      <c r="T2452">
        <f>IMAGE("https://mitra.stanford.edu/kundaje/oak/projects/neuro-variants/variant_position/credible/roussos_2024/variant_figures/roussos_2024.infant.GLU/rs4824106_profile_position.png",4,220,900)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0.0717774229999999</v>
      </c>
      <c r="G2453" t="n">
        <v>0.09014630074736819</v>
      </c>
      <c r="H2453" t="n">
        <v>0.0143540224624539</v>
      </c>
      <c r="I2453" t="n">
        <v>0.3955537409586603</v>
      </c>
      <c r="J2453" t="n">
        <v>0.763065764236425</v>
      </c>
      <c r="K2453" t="n">
        <v>0.0101122759980848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0.02396</v>
      </c>
      <c r="Q2453" t="n">
        <v>90</v>
      </c>
      <c r="R2453" t="n">
        <v>0.2429</v>
      </c>
      <c r="S2453">
        <f>IMAGE("https://mitra.stanford.edu/kundaje/oak/projects/neuro-variants/variant_position/credible/roussos_2024/variant_figures/roussos_2024.infant.GLU/rs8184990_count_position.png",4,220,900)</f>
        <v/>
      </c>
      <c r="T2453">
        <f>IMAGE("https://mitra.stanford.edu/kundaje/oak/projects/neuro-variants/variant_position/credible/roussos_2024/variant_figures/roussos_2024.infant.GLU/rs8184990_profile_position.png",4,220,900)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0.499648146</v>
      </c>
      <c r="G2454" t="n">
        <v>0.0004163631748437</v>
      </c>
      <c r="H2454" t="n">
        <v>0.08871062450360929</v>
      </c>
      <c r="I2454" t="n">
        <v>0.0003652645580937</v>
      </c>
      <c r="J2454" t="n">
        <v>0.7508234308516502</v>
      </c>
      <c r="K2454" t="n">
        <v>0.0111566839568322</v>
      </c>
      <c r="L2454" t="b">
        <v>1</v>
      </c>
      <c r="M2454" t="b">
        <v>1</v>
      </c>
      <c r="N2454" t="inlineStr">
        <is>
          <t>alt</t>
        </is>
      </c>
      <c r="O2454" t="n">
        <v>-40</v>
      </c>
      <c r="P2454" t="n">
        <v>0.002502</v>
      </c>
      <c r="Q2454" t="n">
        <v>-50</v>
      </c>
      <c r="R2454" t="n">
        <v>0.1653</v>
      </c>
      <c r="S2454">
        <f>IMAGE("https://mitra.stanford.edu/kundaje/oak/projects/neuro-variants/variant_position/credible/roussos_2024/variant_figures/roussos_2024.infant.GLU/rs910799_count_position.png",4,220,900)</f>
        <v/>
      </c>
      <c r="T2454">
        <f>IMAGE("https://mitra.stanford.edu/kundaje/oak/projects/neuro-variants/variant_position/credible/roussos_2024/variant_figures/roussos_2024.infant.GLU/rs910799_profile_position.png",4,220,900)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-0.191320956</v>
      </c>
      <c r="G2455" t="n">
        <v>0.0125816013695823</v>
      </c>
      <c r="H2455" t="n">
        <v>0.0433018086575635</v>
      </c>
      <c r="I2455" t="n">
        <v>0.0158636911192976</v>
      </c>
      <c r="J2455" t="n">
        <v>0.6363907934478272</v>
      </c>
      <c r="K2455" t="n">
        <v>0.01842378983887</v>
      </c>
      <c r="L2455" t="b">
        <v>1</v>
      </c>
      <c r="M2455" t="b">
        <v>0</v>
      </c>
      <c r="N2455" t="inlineStr">
        <is>
          <t>ref</t>
        </is>
      </c>
      <c r="O2455" t="n">
        <v>-75</v>
      </c>
      <c r="P2455" t="n">
        <v>0.002281</v>
      </c>
      <c r="Q2455" t="n">
        <v>50</v>
      </c>
      <c r="R2455" t="n">
        <v>0.04547</v>
      </c>
      <c r="S2455">
        <f>IMAGE("https://mitra.stanford.edu/kundaje/oak/projects/neuro-variants/variant_position/credible/roussos_2024/variant_figures/roussos_2024.infant.GLU/rs910800_count_position.png",4,220,900)</f>
        <v/>
      </c>
      <c r="T2455">
        <f>IMAGE("https://mitra.stanford.edu/kundaje/oak/projects/neuro-variants/variant_position/credible/roussos_2024/variant_figures/roussos_2024.infant.GLU/rs910800_profile_position.png",4,220,900)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-0.0632497421999999</v>
      </c>
      <c r="G2456" t="n">
        <v>0.1169117738962307</v>
      </c>
      <c r="H2456" t="n">
        <v>0.0106878040990761</v>
      </c>
      <c r="I2456" t="n">
        <v>0.6692568127473626</v>
      </c>
      <c r="J2456" t="n">
        <v>0.1539055093807182</v>
      </c>
      <c r="K2456" t="n">
        <v>0.1444176251588866</v>
      </c>
      <c r="L2456" t="b">
        <v>0</v>
      </c>
      <c r="M2456" t="b">
        <v>0</v>
      </c>
      <c r="N2456" t="inlineStr">
        <is>
          <t>ref</t>
        </is>
      </c>
      <c r="O2456" t="n">
        <v>100</v>
      </c>
      <c r="P2456" t="n">
        <v>0.003326</v>
      </c>
      <c r="Q2456" t="n">
        <v>-45</v>
      </c>
      <c r="R2456" t="n">
        <v>0.1018</v>
      </c>
      <c r="S2456">
        <f>IMAGE("https://mitra.stanford.edu/kundaje/oak/projects/neuro-variants/variant_position/credible/roussos_2024/variant_figures/roussos_2024.infant.GLU/rs768618_count_position.png",4,220,900)</f>
        <v/>
      </c>
      <c r="T2456">
        <f>IMAGE("https://mitra.stanford.edu/kundaje/oak/projects/neuro-variants/variant_position/credible/roussos_2024/variant_figures/roussos_2024.infant.GLU/rs768618_profile_position.png",4,220,900)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0.0224956342</v>
      </c>
      <c r="G2457" t="n">
        <v>0.3274429976755134</v>
      </c>
      <c r="H2457" t="n">
        <v>0.0358288135097523</v>
      </c>
      <c r="I2457" t="n">
        <v>0.0314907052560639</v>
      </c>
      <c r="J2457" t="n">
        <v>0.0804404859013646</v>
      </c>
      <c r="K2457" t="n">
        <v>0.2488025824348213</v>
      </c>
      <c r="L2457" t="b">
        <v>0</v>
      </c>
      <c r="M2457" t="b">
        <v>0</v>
      </c>
      <c r="N2457" t="inlineStr">
        <is>
          <t>alt</t>
        </is>
      </c>
      <c r="O2457" t="n">
        <v>-90</v>
      </c>
      <c r="P2457" t="n">
        <v>0.01624</v>
      </c>
      <c r="Q2457" t="n">
        <v>-90</v>
      </c>
      <c r="R2457" t="n">
        <v>0.0747</v>
      </c>
      <c r="S2457">
        <f>IMAGE("https://mitra.stanford.edu/kundaje/oak/projects/neuro-variants/variant_position/credible/roussos_2024/variant_figures/roussos_2024.infant.GLU/rs768619_count_position.png",4,220,900)</f>
        <v/>
      </c>
      <c r="T2457">
        <f>IMAGE("https://mitra.stanford.edu/kundaje/oak/projects/neuro-variants/variant_position/credible/roussos_2024/variant_figures/roussos_2024.infant.GLU/rs768619_profile_position.png",4,220,900)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-0.07628194739999999</v>
      </c>
      <c r="G2458" t="n">
        <v>0.0906092854972655</v>
      </c>
      <c r="H2458" t="n">
        <v>0.0131271332300678</v>
      </c>
      <c r="I2458" t="n">
        <v>0.4757870491796889</v>
      </c>
      <c r="J2458" t="n">
        <v>0.0069468021781784</v>
      </c>
      <c r="K2458" t="n">
        <v>0.713821073775694</v>
      </c>
      <c r="L2458" t="b">
        <v>0</v>
      </c>
      <c r="M2458" t="b">
        <v>0</v>
      </c>
      <c r="N2458" t="inlineStr">
        <is>
          <t>ref</t>
        </is>
      </c>
      <c r="O2458" t="n">
        <v>100</v>
      </c>
      <c r="P2458" t="n">
        <v>0.1282</v>
      </c>
      <c r="Q2458" t="n">
        <v>80</v>
      </c>
      <c r="R2458" t="n">
        <v>0.143</v>
      </c>
      <c r="S2458">
        <f>IMAGE("https://mitra.stanford.edu/kundaje/oak/projects/neuro-variants/variant_position/credible/roussos_2024/variant_figures/roussos_2024.infant.GLU/rs8138687_count_position.png",4,220,900)</f>
        <v/>
      </c>
      <c r="T2458">
        <f>IMAGE("https://mitra.stanford.edu/kundaje/oak/projects/neuro-variants/variant_position/credible/roussos_2024/variant_figures/roussos_2024.infant.GLU/rs8138687_profile_position.png",4,220,900)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-0.00311302444</v>
      </c>
      <c r="G2459" t="n">
        <v>0.8660054024228673</v>
      </c>
      <c r="H2459" t="n">
        <v>0.034056646808253</v>
      </c>
      <c r="I2459" t="n">
        <v>0.0376046552431059</v>
      </c>
      <c r="J2459" t="n">
        <v>0.0846910205251438</v>
      </c>
      <c r="K2459" t="n">
        <v>0.2425952133534623</v>
      </c>
      <c r="L2459" t="b">
        <v>0</v>
      </c>
      <c r="M2459" t="b">
        <v>0</v>
      </c>
      <c r="N2459" t="inlineStr">
        <is>
          <t>ref</t>
        </is>
      </c>
      <c r="O2459" t="n">
        <v>-100</v>
      </c>
      <c r="P2459" t="n">
        <v>0.005615</v>
      </c>
      <c r="Q2459" t="n">
        <v>90</v>
      </c>
      <c r="R2459" t="n">
        <v>0.04605</v>
      </c>
      <c r="S2459">
        <f>IMAGE("https://mitra.stanford.edu/kundaje/oak/projects/neuro-variants/variant_position/credible/roussos_2024/variant_figures/roussos_2024.infant.GLU/rs3883952_count_position.png",4,220,900)</f>
        <v/>
      </c>
      <c r="T2459">
        <f>IMAGE("https://mitra.stanford.edu/kundaje/oak/projects/neuro-variants/variant_position/credible/roussos_2024/variant_figures/roussos_2024.infant.GLU/rs3883952_profile_position.png",4,220,900)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-0.04367923372</v>
      </c>
      <c r="G2460" t="n">
        <v>0.2180700126743348</v>
      </c>
      <c r="H2460" t="n">
        <v>0.0130527652837704</v>
      </c>
      <c r="I2460" t="n">
        <v>0.4799567478309317</v>
      </c>
      <c r="J2460" t="n">
        <v>0.288539209418197</v>
      </c>
      <c r="K2460" t="n">
        <v>0.07227373362349319</v>
      </c>
      <c r="L2460" t="b">
        <v>0</v>
      </c>
      <c r="M2460" t="b">
        <v>0</v>
      </c>
      <c r="N2460" t="inlineStr">
        <is>
          <t>ref</t>
        </is>
      </c>
      <c r="O2460" t="n">
        <v>70</v>
      </c>
      <c r="P2460" t="n">
        <v>0.02411</v>
      </c>
      <c r="Q2460" t="n">
        <v>-35</v>
      </c>
      <c r="R2460" t="n">
        <v>0.03867</v>
      </c>
      <c r="S2460">
        <f>IMAGE("https://mitra.stanford.edu/kundaje/oak/projects/neuro-variants/variant_position/credible/roussos_2024/variant_figures/roussos_2024.infant.GLU/rs8137331_count_position.png",4,220,900)</f>
        <v/>
      </c>
      <c r="T2460">
        <f>IMAGE("https://mitra.stanford.edu/kundaje/oak/projects/neuro-variants/variant_position/credible/roussos_2024/variant_figures/roussos_2024.infant.GLU/rs8137331_profile_position.png",4,220,900)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0.024110585</v>
      </c>
      <c r="G2461" t="n">
        <v>0.3870271316116819</v>
      </c>
      <c r="H2461" t="n">
        <v>0.0125439596925484</v>
      </c>
      <c r="I2461" t="n">
        <v>0.5160331604123687</v>
      </c>
      <c r="J2461" t="n">
        <v>0.167629356908221</v>
      </c>
      <c r="K2461" t="n">
        <v>0.1388180101810554</v>
      </c>
      <c r="L2461" t="b">
        <v>0</v>
      </c>
      <c r="M2461" t="b">
        <v>0</v>
      </c>
      <c r="N2461" t="inlineStr">
        <is>
          <t>alt</t>
        </is>
      </c>
      <c r="O2461" t="n">
        <v>-15</v>
      </c>
      <c r="P2461" t="n">
        <v>0.001785</v>
      </c>
      <c r="Q2461" t="n">
        <v>95</v>
      </c>
      <c r="R2461" t="n">
        <v>0.1409</v>
      </c>
      <c r="S2461">
        <f>IMAGE("https://mitra.stanford.edu/kundaje/oak/projects/neuro-variants/variant_position/credible/roussos_2024/variant_figures/roussos_2024.infant.GLU/rs7284417_count_position.png",4,220,900)</f>
        <v/>
      </c>
      <c r="T2461">
        <f>IMAGE("https://mitra.stanford.edu/kundaje/oak/projects/neuro-variants/variant_position/credible/roussos_2024/variant_figures/roussos_2024.infant.GLU/rs7284417_profile_position.png",4,220,900)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0.00563064296</v>
      </c>
      <c r="G2462" t="n">
        <v>0.5963155001472707</v>
      </c>
      <c r="H2462" t="n">
        <v>0.0514687688312979</v>
      </c>
      <c r="I2462" t="n">
        <v>0.0066959929417198</v>
      </c>
      <c r="J2462" t="n">
        <v>0.015773054961529</v>
      </c>
      <c r="K2462" t="n">
        <v>0.5799932187895922</v>
      </c>
      <c r="L2462" t="b">
        <v>1</v>
      </c>
      <c r="M2462" t="b">
        <v>0</v>
      </c>
      <c r="N2462" t="inlineStr">
        <is>
          <t>alt</t>
        </is>
      </c>
      <c r="O2462" t="n">
        <v>85</v>
      </c>
      <c r="P2462" t="n">
        <v>0.03748</v>
      </c>
      <c r="Q2462" t="n">
        <v>95</v>
      </c>
      <c r="R2462" t="n">
        <v>0.1084</v>
      </c>
      <c r="S2462">
        <f>IMAGE("https://mitra.stanford.edu/kundaje/oak/projects/neuro-variants/variant_position/credible/roussos_2024/variant_figures/roussos_2024.infant.GLU/rs6010043_count_position.png",4,220,900)</f>
        <v/>
      </c>
      <c r="T2462">
        <f>IMAGE("https://mitra.stanford.edu/kundaje/oak/projects/neuro-variants/variant_position/credible/roussos_2024/variant_figures/roussos_2024.infant.GLU/rs6010043_profile_position.png",4,220,900)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-0.047917699</v>
      </c>
      <c r="G2463" t="n">
        <v>0.184122327505213</v>
      </c>
      <c r="H2463" t="n">
        <v>0.0100113549971795</v>
      </c>
      <c r="I2463" t="n">
        <v>0.7272476374559271</v>
      </c>
      <c r="J2463" t="n">
        <v>0.1482418042725809</v>
      </c>
      <c r="K2463" t="n">
        <v>0.1496418131569419</v>
      </c>
      <c r="L2463" t="b">
        <v>0</v>
      </c>
      <c r="M2463" t="b">
        <v>0</v>
      </c>
      <c r="N2463" t="inlineStr">
        <is>
          <t>ref</t>
        </is>
      </c>
      <c r="O2463" t="n">
        <v>100</v>
      </c>
      <c r="P2463" t="n">
        <v>0.03976</v>
      </c>
      <c r="Q2463" t="n">
        <v>-15</v>
      </c>
      <c r="R2463" t="n">
        <v>0.01257</v>
      </c>
      <c r="S2463">
        <f>IMAGE("https://mitra.stanford.edu/kundaje/oak/projects/neuro-variants/variant_position/credible/roussos_2024/variant_figures/roussos_2024.infant.GLU/rs4685508_count_position.png",4,220,900)</f>
        <v/>
      </c>
      <c r="T2463">
        <f>IMAGE("https://mitra.stanford.edu/kundaje/oak/projects/neuro-variants/variant_position/credible/roussos_2024/variant_figures/roussos_2024.infant.GLU/rs4685508_profile_position.png",4,220,900)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0.14584543</v>
      </c>
      <c r="G2464" t="n">
        <v>0.0222779093906936</v>
      </c>
      <c r="H2464" t="n">
        <v>0.0316201837923082</v>
      </c>
      <c r="I2464" t="n">
        <v>0.0485278963050683</v>
      </c>
      <c r="J2464" t="n">
        <v>0.0584095769307083</v>
      </c>
      <c r="K2464" t="n">
        <v>0.3086516694551024</v>
      </c>
      <c r="L2464" t="b">
        <v>0</v>
      </c>
      <c r="M2464" t="b">
        <v>0</v>
      </c>
      <c r="N2464" t="inlineStr">
        <is>
          <t>alt</t>
        </is>
      </c>
      <c r="O2464" t="n">
        <v>-95</v>
      </c>
      <c r="P2464" t="n">
        <v>0.010605</v>
      </c>
      <c r="Q2464" t="n">
        <v>-100</v>
      </c>
      <c r="R2464" t="n">
        <v>0.02051</v>
      </c>
      <c r="S2464">
        <f>IMAGE("https://mitra.stanford.edu/kundaje/oak/projects/neuro-variants/variant_position/credible/roussos_2024/variant_figures/roussos_2024.infant.GLU/rs12638682_count_position.png",4,220,900)</f>
        <v/>
      </c>
      <c r="T2464">
        <f>IMAGE("https://mitra.stanford.edu/kundaje/oak/projects/neuro-variants/variant_position/credible/roussos_2024/variant_figures/roussos_2024.infant.GLU/rs12638682_profile_position.png",4,220,900)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-0.130109308</v>
      </c>
      <c r="G2465" t="n">
        <v>0.0295801564794146</v>
      </c>
      <c r="H2465" t="n">
        <v>0.0305196841142699</v>
      </c>
      <c r="I2465" t="n">
        <v>0.0552235165906544</v>
      </c>
      <c r="J2465" t="n">
        <v>0.0039022024295067</v>
      </c>
      <c r="K2465" t="n">
        <v>0.7982213627148242</v>
      </c>
      <c r="L2465" t="b">
        <v>0</v>
      </c>
      <c r="M2465" t="b">
        <v>0</v>
      </c>
      <c r="N2465" t="inlineStr">
        <is>
          <t>ref</t>
        </is>
      </c>
      <c r="O2465" t="n">
        <v>45</v>
      </c>
      <c r="P2465" t="n">
        <v>0.00787</v>
      </c>
      <c r="Q2465" t="n">
        <v>35</v>
      </c>
      <c r="R2465" t="n">
        <v>0.02292</v>
      </c>
      <c r="S2465">
        <f>IMAGE("https://mitra.stanford.edu/kundaje/oak/projects/neuro-variants/variant_position/credible/roussos_2024/variant_figures/roussos_2024.infant.GLU/rs56251018_count_position.png",4,220,900)</f>
        <v/>
      </c>
      <c r="T2465">
        <f>IMAGE("https://mitra.stanford.edu/kundaje/oak/projects/neuro-variants/variant_position/credible/roussos_2024/variant_figures/roussos_2024.infant.GLU/rs56251018_profile_position.png",4,220,900)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0.432930512</v>
      </c>
      <c r="G2466" t="n">
        <v>0.0008191079676375</v>
      </c>
      <c r="H2466" t="n">
        <v>0.0618643529470689</v>
      </c>
      <c r="I2466" t="n">
        <v>0.0027594908424744</v>
      </c>
      <c r="J2466" t="n">
        <v>0.1308714918759231</v>
      </c>
      <c r="K2466" t="n">
        <v>0.1695872403976255</v>
      </c>
      <c r="L2466" t="b">
        <v>1</v>
      </c>
      <c r="M2466" t="b">
        <v>1</v>
      </c>
      <c r="N2466" t="inlineStr">
        <is>
          <t>alt</t>
        </is>
      </c>
      <c r="O2466" t="n">
        <v>-65</v>
      </c>
      <c r="P2466" t="n">
        <v>0.002853</v>
      </c>
      <c r="Q2466" t="n">
        <v>-85</v>
      </c>
      <c r="R2466" t="n">
        <v>0.1411</v>
      </c>
      <c r="S2466">
        <f>IMAGE("https://mitra.stanford.edu/kundaje/oak/projects/neuro-variants/variant_position/credible/roussos_2024/variant_figures/roussos_2024.infant.GLU/rs1720179_count_position.png",4,220,900)</f>
        <v/>
      </c>
      <c r="T2466">
        <f>IMAGE("https://mitra.stanford.edu/kundaje/oak/projects/neuro-variants/variant_position/credible/roussos_2024/variant_figures/roussos_2024.infant.GLU/rs1720179_profile_position.png",4,220,900)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-0.01382507416</v>
      </c>
      <c r="G2467" t="n">
        <v>0.5745765919640947</v>
      </c>
      <c r="H2467" t="n">
        <v>0.0158329381980342</v>
      </c>
      <c r="I2467" t="n">
        <v>0.3187680163270562</v>
      </c>
      <c r="J2467" t="n">
        <v>0.0015917458497762</v>
      </c>
      <c r="K2467" t="n">
        <v>0.8705489688147284</v>
      </c>
      <c r="L2467" t="b">
        <v>0</v>
      </c>
      <c r="M2467" t="b">
        <v>0</v>
      </c>
      <c r="N2467" t="inlineStr">
        <is>
          <t>ref</t>
        </is>
      </c>
      <c r="O2467" t="n">
        <v>65</v>
      </c>
      <c r="P2467" t="n">
        <v>0.06018</v>
      </c>
      <c r="Q2467" t="n">
        <v>100</v>
      </c>
      <c r="R2467" t="n">
        <v>0.0813</v>
      </c>
      <c r="S2467">
        <f>IMAGE("https://mitra.stanford.edu/kundaje/oak/projects/neuro-variants/variant_position/credible/roussos_2024/variant_figures/roussos_2024.infant.GLU/rs1685495_count_position.png",4,220,900)</f>
        <v/>
      </c>
      <c r="T2467">
        <f>IMAGE("https://mitra.stanford.edu/kundaje/oak/projects/neuro-variants/variant_position/credible/roussos_2024/variant_figures/roussos_2024.infant.GLU/rs1685495_profile_position.png",4,220,900)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-0.01451146702</v>
      </c>
      <c r="G2468" t="n">
        <v>0.5437869253538291</v>
      </c>
      <c r="H2468" t="n">
        <v>0.0234252664093706</v>
      </c>
      <c r="I2468" t="n">
        <v>0.1205903349771182</v>
      </c>
      <c r="J2468" t="n">
        <v>0.1008333517052844</v>
      </c>
      <c r="K2468" t="n">
        <v>0.205464225149931</v>
      </c>
      <c r="L2468" t="b">
        <v>0</v>
      </c>
      <c r="M2468" t="b">
        <v>0</v>
      </c>
      <c r="N2468" t="inlineStr">
        <is>
          <t>ref</t>
        </is>
      </c>
      <c r="O2468" t="n">
        <v>-70</v>
      </c>
      <c r="P2468" t="n">
        <v>0.01039</v>
      </c>
      <c r="Q2468" t="n">
        <v>-75</v>
      </c>
      <c r="R2468" t="n">
        <v>0.2084</v>
      </c>
      <c r="S2468">
        <f>IMAGE("https://mitra.stanford.edu/kundaje/oak/projects/neuro-variants/variant_position/credible/roussos_2024/variant_figures/roussos_2024.infant.GLU/rs4685517_count_position.png",4,220,900)</f>
        <v/>
      </c>
      <c r="T2468">
        <f>IMAGE("https://mitra.stanford.edu/kundaje/oak/projects/neuro-variants/variant_position/credible/roussos_2024/variant_figures/roussos_2024.infant.GLU/rs4685517_profile_position.png",4,220,900)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-0.003253488054</v>
      </c>
      <c r="G2469" t="n">
        <v>0.8654398258017156</v>
      </c>
      <c r="H2469" t="n">
        <v>0.0302610028434735</v>
      </c>
      <c r="I2469" t="n">
        <v>0.0558922900483733</v>
      </c>
      <c r="J2469" t="n">
        <v>0.0954364073282038</v>
      </c>
      <c r="K2469" t="n">
        <v>0.2167512576546939</v>
      </c>
      <c r="L2469" t="b">
        <v>0</v>
      </c>
      <c r="M2469" t="b">
        <v>0</v>
      </c>
      <c r="N2469" t="inlineStr">
        <is>
          <t>ref</t>
        </is>
      </c>
      <c r="O2469" t="n">
        <v>-100</v>
      </c>
      <c r="P2469" t="n">
        <v>0.004883</v>
      </c>
      <c r="Q2469" t="n">
        <v>-10</v>
      </c>
      <c r="R2469" t="n">
        <v>0.01721</v>
      </c>
      <c r="S2469">
        <f>IMAGE("https://mitra.stanford.edu/kundaje/oak/projects/neuro-variants/variant_position/credible/roussos_2024/variant_figures/roussos_2024.infant.GLU/rs6787394_count_position.png",4,220,900)</f>
        <v/>
      </c>
      <c r="T2469">
        <f>IMAGE("https://mitra.stanford.edu/kundaje/oak/projects/neuro-variants/variant_position/credible/roussos_2024/variant_figures/roussos_2024.infant.GLU/rs6787394_profile_position.png",4,220,900)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0.01914333588</v>
      </c>
      <c r="G2470" t="n">
        <v>0.3577690659077633</v>
      </c>
      <c r="H2470" t="n">
        <v>0.0323073833722583</v>
      </c>
      <c r="I2470" t="n">
        <v>0.0448745787972971</v>
      </c>
      <c r="J2470" t="n">
        <v>0.1038625190149694</v>
      </c>
      <c r="K2470" t="n">
        <v>0.1989041855639454</v>
      </c>
      <c r="L2470" t="b">
        <v>0</v>
      </c>
      <c r="M2470" t="b">
        <v>0</v>
      </c>
      <c r="N2470" t="inlineStr">
        <is>
          <t>alt</t>
        </is>
      </c>
      <c r="O2470" t="n">
        <v>35</v>
      </c>
      <c r="P2470" t="n">
        <v>0.02734</v>
      </c>
      <c r="Q2470" t="n">
        <v>-50</v>
      </c>
      <c r="R2470" t="n">
        <v>0.03894</v>
      </c>
      <c r="S2470">
        <f>IMAGE("https://mitra.stanford.edu/kundaje/oak/projects/neuro-variants/variant_position/credible/roussos_2024/variant_figures/roussos_2024.infant.GLU/rs67888396_count_position.png",4,220,900)</f>
        <v/>
      </c>
      <c r="T2470">
        <f>IMAGE("https://mitra.stanford.edu/kundaje/oak/projects/neuro-variants/variant_position/credible/roussos_2024/variant_figures/roussos_2024.infant.GLU/rs67888396_profile_position.png",4,220,900)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0.02047650332</v>
      </c>
      <c r="G2471" t="n">
        <v>0.3613894111870674</v>
      </c>
      <c r="H2471" t="n">
        <v>0.028313618826893</v>
      </c>
      <c r="I2471" t="n">
        <v>0.06921248810525001</v>
      </c>
      <c r="J2471" t="n">
        <v>0.0739423267708723</v>
      </c>
      <c r="K2471" t="n">
        <v>0.2630947725059723</v>
      </c>
      <c r="L2471" t="b">
        <v>0</v>
      </c>
      <c r="M2471" t="b">
        <v>0</v>
      </c>
      <c r="N2471" t="inlineStr">
        <is>
          <t>alt</t>
        </is>
      </c>
      <c r="O2471" t="n">
        <v>-45</v>
      </c>
      <c r="P2471" t="n">
        <v>0.3975</v>
      </c>
      <c r="Q2471" t="n">
        <v>-55</v>
      </c>
      <c r="R2471" t="n">
        <v>0.1168</v>
      </c>
      <c r="S2471">
        <f>IMAGE("https://mitra.stanford.edu/kundaje/oak/projects/neuro-variants/variant_position/credible/roussos_2024/variant_figures/roussos_2024.infant.GLU/rs67733815_count_position.png",4,220,900)</f>
        <v/>
      </c>
      <c r="T2471">
        <f>IMAGE("https://mitra.stanford.edu/kundaje/oak/projects/neuro-variants/variant_position/credible/roussos_2024/variant_figures/roussos_2024.infant.GLU/rs67733815_profile_position.png",4,220,900)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0.0113068122</v>
      </c>
      <c r="G2472" t="n">
        <v>0.5191985842889973</v>
      </c>
      <c r="H2472" t="n">
        <v>0.0121904336199087</v>
      </c>
      <c r="I2472" t="n">
        <v>0.5431237093715191</v>
      </c>
      <c r="J2472" t="n">
        <v>0.0257787870102956</v>
      </c>
      <c r="K2472" t="n">
        <v>0.4883960254134546</v>
      </c>
      <c r="L2472" t="b">
        <v>0</v>
      </c>
      <c r="M2472" t="b">
        <v>0</v>
      </c>
      <c r="N2472" t="inlineStr">
        <is>
          <t>alt</t>
        </is>
      </c>
      <c r="O2472" t="n">
        <v>-100</v>
      </c>
      <c r="P2472" t="n">
        <v>0.01701</v>
      </c>
      <c r="Q2472" t="n">
        <v>0</v>
      </c>
      <c r="R2472" t="n">
        <v>0</v>
      </c>
      <c r="S2472">
        <f>IMAGE("https://mitra.stanford.edu/kundaje/oak/projects/neuro-variants/variant_position/credible/roussos_2024/variant_figures/roussos_2024.infant.GLU/rs1072848_count_position.png",4,220,900)</f>
        <v/>
      </c>
      <c r="T2472">
        <f>IMAGE("https://mitra.stanford.edu/kundaje/oak/projects/neuro-variants/variant_position/credible/roussos_2024/variant_figures/roussos_2024.infant.GLU/rs1072848_profile_position.png",4,220,900)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-0.2933452159999999</v>
      </c>
      <c r="G2473" t="n">
        <v>0.0034999894394451</v>
      </c>
      <c r="H2473" t="n">
        <v>0.0311552269295747</v>
      </c>
      <c r="I2473" t="n">
        <v>0.0514723694409313</v>
      </c>
      <c r="J2473" t="n">
        <v>0.1298154721224012</v>
      </c>
      <c r="K2473" t="n">
        <v>0.177536513662755</v>
      </c>
      <c r="L2473" t="b">
        <v>1</v>
      </c>
      <c r="M2473" t="b">
        <v>1</v>
      </c>
      <c r="N2473" t="inlineStr">
        <is>
          <t>ref</t>
        </is>
      </c>
      <c r="O2473" t="n">
        <v>100</v>
      </c>
      <c r="P2473" t="n">
        <v>0.0809</v>
      </c>
      <c r="Q2473" t="n">
        <v>90</v>
      </c>
      <c r="R2473" t="n">
        <v>0.1948</v>
      </c>
      <c r="S2473">
        <f>IMAGE("https://mitra.stanford.edu/kundaje/oak/projects/neuro-variants/variant_position/credible/roussos_2024/variant_figures/roussos_2024.infant.GLU/rs7642870_count_position.png",4,220,900)</f>
        <v/>
      </c>
      <c r="T2473">
        <f>IMAGE("https://mitra.stanford.edu/kundaje/oak/projects/neuro-variants/variant_position/credible/roussos_2024/variant_figures/roussos_2024.infant.GLU/rs7642870_profile_position.png",4,220,900)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0.1522208662</v>
      </c>
      <c r="G2474" t="n">
        <v>0.0209610613006933</v>
      </c>
      <c r="H2474" t="n">
        <v>0.0315738056054366</v>
      </c>
      <c r="I2474" t="n">
        <v>0.0489529465612899</v>
      </c>
      <c r="J2474" t="n">
        <v>0.1034855265768645</v>
      </c>
      <c r="K2474" t="n">
        <v>0.2077715578218535</v>
      </c>
      <c r="L2474" t="b">
        <v>0</v>
      </c>
      <c r="M2474" t="b">
        <v>0</v>
      </c>
      <c r="N2474" t="inlineStr">
        <is>
          <t>alt</t>
        </is>
      </c>
      <c r="O2474" t="n">
        <v>-20</v>
      </c>
      <c r="P2474" t="n">
        <v>0.00541</v>
      </c>
      <c r="Q2474" t="n">
        <v>55</v>
      </c>
      <c r="R2474" t="n">
        <v>0.0332</v>
      </c>
      <c r="S2474">
        <f>IMAGE("https://mitra.stanford.edu/kundaje/oak/projects/neuro-variants/variant_position/credible/roussos_2024/variant_figures/roussos_2024.infant.GLU/rs56345807_count_position.png",4,220,900)</f>
        <v/>
      </c>
      <c r="T2474">
        <f>IMAGE("https://mitra.stanford.edu/kundaje/oak/projects/neuro-variants/variant_position/credible/roussos_2024/variant_figures/roussos_2024.infant.GLU/rs56345807_profile_position.png",4,220,900)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-0.0620128416</v>
      </c>
      <c r="G2475" t="n">
        <v>0.1225453963463344</v>
      </c>
      <c r="H2475" t="n">
        <v>0.0160679477978775</v>
      </c>
      <c r="I2475" t="n">
        <v>0.30961253955702</v>
      </c>
      <c r="J2475" t="n">
        <v>0.07639167530148359</v>
      </c>
      <c r="K2475" t="n">
        <v>0.2609740789775795</v>
      </c>
      <c r="L2475" t="b">
        <v>0</v>
      </c>
      <c r="M2475" t="b">
        <v>0</v>
      </c>
      <c r="N2475" t="inlineStr">
        <is>
          <t>ref</t>
        </is>
      </c>
      <c r="O2475" t="n">
        <v>-45</v>
      </c>
      <c r="P2475" t="n">
        <v>0.004524</v>
      </c>
      <c r="Q2475" t="n">
        <v>20</v>
      </c>
      <c r="R2475" t="n">
        <v>0.04755</v>
      </c>
      <c r="S2475">
        <f>IMAGE("https://mitra.stanford.edu/kundaje/oak/projects/neuro-variants/variant_position/credible/roussos_2024/variant_figures/roussos_2024.infant.GLU/rs138823185_count_position.png",4,220,900)</f>
        <v/>
      </c>
      <c r="T2475">
        <f>IMAGE("https://mitra.stanford.edu/kundaje/oak/projects/neuro-variants/variant_position/credible/roussos_2024/variant_figures/roussos_2024.infant.GLU/rs138823185_profile_position.png",4,220,900)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0.094183669</v>
      </c>
      <c r="G2476" t="n">
        <v>0.0561411397120249</v>
      </c>
      <c r="H2476" t="n">
        <v>0.0161955743692649</v>
      </c>
      <c r="I2476" t="n">
        <v>0.3088690620508532</v>
      </c>
      <c r="J2476" t="n">
        <v>0.1433034237968209</v>
      </c>
      <c r="K2476" t="n">
        <v>0.1603113915577056</v>
      </c>
      <c r="L2476" t="b">
        <v>0</v>
      </c>
      <c r="M2476" t="b">
        <v>0</v>
      </c>
      <c r="N2476" t="inlineStr">
        <is>
          <t>alt</t>
        </is>
      </c>
      <c r="O2476" t="n">
        <v>100</v>
      </c>
      <c r="P2476" t="n">
        <v>0.002945</v>
      </c>
      <c r="Q2476" t="n">
        <v>-5</v>
      </c>
      <c r="R2476" t="n">
        <v>0.01614</v>
      </c>
      <c r="S2476">
        <f>IMAGE("https://mitra.stanford.edu/kundaje/oak/projects/neuro-variants/variant_position/credible/roussos_2024/variant_figures/roussos_2024.infant.GLU/rs9874028_count_position.png",4,220,900)</f>
        <v/>
      </c>
      <c r="T2476">
        <f>IMAGE("https://mitra.stanford.edu/kundaje/oak/projects/neuro-variants/variant_position/credible/roussos_2024/variant_figures/roussos_2024.infant.GLU/rs9874028_profile_position.png",4,220,900)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0.03066867112</v>
      </c>
      <c r="G2477" t="n">
        <v>0.3171903379705753</v>
      </c>
      <c r="H2477" t="n">
        <v>0.0136926375255248</v>
      </c>
      <c r="I2477" t="n">
        <v>0.4359105816698971</v>
      </c>
      <c r="J2477" t="n">
        <v>0.1905729844132365</v>
      </c>
      <c r="K2477" t="n">
        <v>0.1144007221383072</v>
      </c>
      <c r="L2477" t="b">
        <v>0</v>
      </c>
      <c r="M2477" t="b">
        <v>0</v>
      </c>
      <c r="N2477" t="inlineStr">
        <is>
          <t>alt</t>
        </is>
      </c>
      <c r="O2477" t="n">
        <v>100</v>
      </c>
      <c r="P2477" t="n">
        <v>0.001882</v>
      </c>
      <c r="Q2477" t="n">
        <v>-95</v>
      </c>
      <c r="R2477" t="n">
        <v>0.119</v>
      </c>
      <c r="S2477">
        <f>IMAGE("https://mitra.stanford.edu/kundaje/oak/projects/neuro-variants/variant_position/credible/roussos_2024/variant_figures/roussos_2024.infant.GLU/rs6787756_count_position.png",4,220,900)</f>
        <v/>
      </c>
      <c r="T2477">
        <f>IMAGE("https://mitra.stanford.edu/kundaje/oak/projects/neuro-variants/variant_position/credible/roussos_2024/variant_figures/roussos_2024.infant.GLU/rs6787756_profile_position.png",4,220,900)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-0.146203002</v>
      </c>
      <c r="G2478" t="n">
        <v>0.0222490545157535</v>
      </c>
      <c r="H2478" t="n">
        <v>0.0335750904250686</v>
      </c>
      <c r="I2478" t="n">
        <v>0.0393441211110702</v>
      </c>
      <c r="J2478" t="n">
        <v>0.0614299257038294</v>
      </c>
      <c r="K2478" t="n">
        <v>0.3006986695655514</v>
      </c>
      <c r="L2478" t="b">
        <v>0</v>
      </c>
      <c r="M2478" t="b">
        <v>0</v>
      </c>
      <c r="N2478" t="inlineStr">
        <is>
          <t>ref</t>
        </is>
      </c>
      <c r="O2478" t="n">
        <v>-90</v>
      </c>
      <c r="P2478" t="n">
        <v>0.0364</v>
      </c>
      <c r="Q2478" t="n">
        <v>-100</v>
      </c>
      <c r="R2478" t="n">
        <v>0.0791</v>
      </c>
      <c r="S2478">
        <f>IMAGE("https://mitra.stanford.edu/kundaje/oak/projects/neuro-variants/variant_position/credible/roussos_2024/variant_figures/roussos_2024.infant.GLU/rs9681617_count_position.png",4,220,900)</f>
        <v/>
      </c>
      <c r="T2478">
        <f>IMAGE("https://mitra.stanford.edu/kundaje/oak/projects/neuro-variants/variant_position/credible/roussos_2024/variant_figures/roussos_2024.infant.GLU/rs9681617_profile_position.png",4,220,900)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-0.0583634796</v>
      </c>
      <c r="G2479" t="n">
        <v>0.1355571275547661</v>
      </c>
      <c r="H2479" t="n">
        <v>0.0244618373521657</v>
      </c>
      <c r="I2479" t="n">
        <v>0.1073776117617414</v>
      </c>
      <c r="J2479" t="n">
        <v>0.0280208999316563</v>
      </c>
      <c r="K2479" t="n">
        <v>0.4762199329876609</v>
      </c>
      <c r="L2479" t="b">
        <v>0</v>
      </c>
      <c r="M2479" t="b">
        <v>0</v>
      </c>
      <c r="N2479" t="inlineStr">
        <is>
          <t>ref</t>
        </is>
      </c>
      <c r="O2479" t="n">
        <v>10</v>
      </c>
      <c r="P2479" t="n">
        <v>0.00103</v>
      </c>
      <c r="Q2479" t="n">
        <v>-100</v>
      </c>
      <c r="R2479" t="n">
        <v>0.02252</v>
      </c>
      <c r="S2479">
        <f>IMAGE("https://mitra.stanford.edu/kundaje/oak/projects/neuro-variants/variant_position/credible/roussos_2024/variant_figures/roussos_2024.infant.GLU/rs55701200_count_position.png",4,220,900)</f>
        <v/>
      </c>
      <c r="T2479">
        <f>IMAGE("https://mitra.stanford.edu/kundaje/oak/projects/neuro-variants/variant_position/credible/roussos_2024/variant_figures/roussos_2024.infant.GLU/rs55701200_profile_position.png",4,220,900)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0.06678796200000001</v>
      </c>
      <c r="G2480" t="n">
        <v>0.1140146195217467</v>
      </c>
      <c r="H2480" t="n">
        <v>0.0208769512408192</v>
      </c>
      <c r="I2480" t="n">
        <v>0.169455257368155</v>
      </c>
      <c r="J2480" t="n">
        <v>0.1056383518155161</v>
      </c>
      <c r="K2480" t="n">
        <v>0.1993732260165427</v>
      </c>
      <c r="L2480" t="b">
        <v>0</v>
      </c>
      <c r="M2480" t="b">
        <v>0</v>
      </c>
      <c r="N2480" t="inlineStr">
        <is>
          <t>alt</t>
        </is>
      </c>
      <c r="O2480" t="n">
        <v>-80</v>
      </c>
      <c r="P2480" t="n">
        <v>0.0873</v>
      </c>
      <c r="Q2480" t="n">
        <v>80</v>
      </c>
      <c r="R2480" t="n">
        <v>0.03345</v>
      </c>
      <c r="S2480">
        <f>IMAGE("https://mitra.stanford.edu/kundaje/oak/projects/neuro-variants/variant_position/credible/roussos_2024/variant_figures/roussos_2024.infant.GLU/rs11128837_count_position.png",4,220,900)</f>
        <v/>
      </c>
      <c r="T2480">
        <f>IMAGE("https://mitra.stanford.edu/kundaje/oak/projects/neuro-variants/variant_position/credible/roussos_2024/variant_figures/roussos_2024.infant.GLU/rs11128837_profile_position.png",4,220,900)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-0.0215147971999999</v>
      </c>
      <c r="G2481" t="n">
        <v>0.4445731585304993</v>
      </c>
      <c r="H2481" t="n">
        <v>0.0099843777576105</v>
      </c>
      <c r="I2481" t="n">
        <v>0.7071120909312691</v>
      </c>
      <c r="J2481" t="n">
        <v>0.148694856588549</v>
      </c>
      <c r="K2481" t="n">
        <v>0.1458566437599868</v>
      </c>
      <c r="L2481" t="b">
        <v>0</v>
      </c>
      <c r="M2481" t="b">
        <v>0</v>
      </c>
      <c r="N2481" t="inlineStr">
        <is>
          <t>ref</t>
        </is>
      </c>
      <c r="O2481" t="n">
        <v>95</v>
      </c>
      <c r="P2481" t="n">
        <v>0.12085</v>
      </c>
      <c r="Q2481" t="n">
        <v>-80</v>
      </c>
      <c r="R2481" t="n">
        <v>0.272</v>
      </c>
      <c r="S2481">
        <f>IMAGE("https://mitra.stanford.edu/kundaje/oak/projects/neuro-variants/variant_position/credible/roussos_2024/variant_figures/roussos_2024.infant.GLU/rs13083917_count_position.png",4,220,900)</f>
        <v/>
      </c>
      <c r="T2481">
        <f>IMAGE("https://mitra.stanford.edu/kundaje/oak/projects/neuro-variants/variant_position/credible/roussos_2024/variant_figures/roussos_2024.infant.GLU/rs13083917_profile_position.png",4,220,900)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0.1035018888</v>
      </c>
      <c r="G2482" t="n">
        <v>0.0470572966878061</v>
      </c>
      <c r="H2482" t="n">
        <v>0.020151891691056</v>
      </c>
      <c r="I2482" t="n">
        <v>0.1820478076796556</v>
      </c>
      <c r="J2482" t="n">
        <v>0.1671586675191251</v>
      </c>
      <c r="K2482" t="n">
        <v>0.1308768837376215</v>
      </c>
      <c r="L2482" t="b">
        <v>0</v>
      </c>
      <c r="M2482" t="b">
        <v>0</v>
      </c>
      <c r="N2482" t="inlineStr">
        <is>
          <t>alt</t>
        </is>
      </c>
      <c r="O2482" t="n">
        <v>95</v>
      </c>
      <c r="P2482" t="n">
        <v>0.00647</v>
      </c>
      <c r="Q2482" t="n">
        <v>-30</v>
      </c>
      <c r="R2482" t="n">
        <v>0.009520000000000001</v>
      </c>
      <c r="S2482">
        <f>IMAGE("https://mitra.stanford.edu/kundaje/oak/projects/neuro-variants/variant_position/credible/roussos_2024/variant_figures/roussos_2024.infant.GLU/rs4909009_count_position.png",4,220,900)</f>
        <v/>
      </c>
      <c r="T2482">
        <f>IMAGE("https://mitra.stanford.edu/kundaje/oak/projects/neuro-variants/variant_position/credible/roussos_2024/variant_figures/roussos_2024.infant.GLU/rs4909009_profile_position.png",4,220,900)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-0.0251482918</v>
      </c>
      <c r="G2483" t="n">
        <v>0.173109703858421</v>
      </c>
      <c r="H2483" t="n">
        <v>0.02953116966135</v>
      </c>
      <c r="I2483" t="n">
        <v>0.0651666539810335</v>
      </c>
      <c r="J2483" t="n">
        <v>0.4508884675588086</v>
      </c>
      <c r="K2483" t="n">
        <v>0.0370293536248163</v>
      </c>
      <c r="L2483" t="b">
        <v>0</v>
      </c>
      <c r="M2483" t="b">
        <v>0</v>
      </c>
      <c r="N2483" t="inlineStr">
        <is>
          <t>ref</t>
        </is>
      </c>
      <c r="O2483" t="n">
        <v>-100</v>
      </c>
      <c r="P2483" t="n">
        <v>0.01015</v>
      </c>
      <c r="Q2483" t="n">
        <v>-100</v>
      </c>
      <c r="R2483" t="n">
        <v>0.1967</v>
      </c>
      <c r="S2483">
        <f>IMAGE("https://mitra.stanford.edu/kundaje/oak/projects/neuro-variants/variant_position/credible/roussos_2024/variant_figures/roussos_2024.infant.GLU/rs6797952_count_position.png",4,220,900)</f>
        <v/>
      </c>
      <c r="T2483">
        <f>IMAGE("https://mitra.stanford.edu/kundaje/oak/projects/neuro-variants/variant_position/credible/roussos_2024/variant_figures/roussos_2024.infant.GLU/rs6797952_profile_position.png",4,220,900)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0.428994428</v>
      </c>
      <c r="G2484" t="n">
        <v>0.0015727171949176</v>
      </c>
      <c r="H2484" t="n">
        <v>0.0505922437562581</v>
      </c>
      <c r="I2484" t="n">
        <v>0.0100619956605249</v>
      </c>
      <c r="J2484" t="n">
        <v>0.1867093630811966</v>
      </c>
      <c r="K2484" t="n">
        <v>0.1331006209145692</v>
      </c>
      <c r="L2484" t="b">
        <v>1</v>
      </c>
      <c r="M2484" t="b">
        <v>1</v>
      </c>
      <c r="N2484" t="inlineStr">
        <is>
          <t>alt</t>
        </is>
      </c>
      <c r="O2484" t="n">
        <v>-30</v>
      </c>
      <c r="P2484" t="n">
        <v>0.003632</v>
      </c>
      <c r="Q2484" t="n">
        <v>-15</v>
      </c>
      <c r="R2484" t="n">
        <v>0.02637</v>
      </c>
      <c r="S2484">
        <f>IMAGE("https://mitra.stanford.edu/kundaje/oak/projects/neuro-variants/variant_position/credible/roussos_2024/variant_figures/roussos_2024.infant.GLU/rs35642812_count_position.png",4,220,900)</f>
        <v/>
      </c>
      <c r="T2484">
        <f>IMAGE("https://mitra.stanford.edu/kundaje/oak/projects/neuro-variants/variant_position/credible/roussos_2024/variant_figures/roussos_2024.infant.GLU/rs35642812_profile_position.png",4,220,900)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-0.00040638747</v>
      </c>
      <c r="G2485" t="n">
        <v>0.7846467380970936</v>
      </c>
      <c r="H2485" t="n">
        <v>0.0107476552801132</v>
      </c>
      <c r="I2485" t="n">
        <v>0.6717618805977665</v>
      </c>
      <c r="J2485" t="n">
        <v>0.0504916334134349</v>
      </c>
      <c r="K2485" t="n">
        <v>0.3431653876252417</v>
      </c>
      <c r="L2485" t="b">
        <v>0</v>
      </c>
      <c r="M2485" t="b">
        <v>0</v>
      </c>
      <c r="N2485" t="inlineStr">
        <is>
          <t>ref</t>
        </is>
      </c>
      <c r="O2485" t="n">
        <v>-85</v>
      </c>
      <c r="P2485" t="n">
        <v>0.014496</v>
      </c>
      <c r="Q2485" t="n">
        <v>-85</v>
      </c>
      <c r="R2485" t="n">
        <v>0.2808</v>
      </c>
      <c r="S2485">
        <f>IMAGE("https://mitra.stanford.edu/kundaje/oak/projects/neuro-variants/variant_position/credible/roussos_2024/variant_figures/roussos_2024.infant.GLU/rs6810235_count_position.png",4,220,900)</f>
        <v/>
      </c>
      <c r="T2485">
        <f>IMAGE("https://mitra.stanford.edu/kundaje/oak/projects/neuro-variants/variant_position/credible/roussos_2024/variant_figures/roussos_2024.infant.GLU/rs6810235_profile_position.png",4,220,900)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-0.16634795</v>
      </c>
      <c r="G2486" t="n">
        <v>0.0161771721600342</v>
      </c>
      <c r="H2486" t="n">
        <v>0.0223276675959979</v>
      </c>
      <c r="I2486" t="n">
        <v>0.1402585132513312</v>
      </c>
      <c r="J2486" t="n">
        <v>0.0627703432615357</v>
      </c>
      <c r="K2486" t="n">
        <v>0.3145643484797277</v>
      </c>
      <c r="L2486" t="b">
        <v>1</v>
      </c>
      <c r="M2486" t="b">
        <v>0</v>
      </c>
      <c r="N2486" t="inlineStr">
        <is>
          <t>ref</t>
        </is>
      </c>
      <c r="O2486" t="n">
        <v>-90</v>
      </c>
      <c r="P2486" t="n">
        <v>0.02362</v>
      </c>
      <c r="Q2486" t="n">
        <v>-45</v>
      </c>
      <c r="R2486" t="n">
        <v>0.0315</v>
      </c>
      <c r="S2486">
        <f>IMAGE("https://mitra.stanford.edu/kundaje/oak/projects/neuro-variants/variant_position/credible/roussos_2024/variant_figures/roussos_2024.infant.GLU/rs13071934_count_position.png",4,220,900)</f>
        <v/>
      </c>
      <c r="T2486">
        <f>IMAGE("https://mitra.stanford.edu/kundaje/oak/projects/neuro-variants/variant_position/credible/roussos_2024/variant_figures/roussos_2024.infant.GLU/rs13071934_profile_position.png",4,220,900)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0.0320311996</v>
      </c>
      <c r="G2487" t="n">
        <v>0.2880636975611316</v>
      </c>
      <c r="H2487" t="n">
        <v>0.008059042041248301</v>
      </c>
      <c r="I2487" t="n">
        <v>0.9052985978956444</v>
      </c>
      <c r="J2487" t="n">
        <v>0.0434467250159835</v>
      </c>
      <c r="K2487" t="n">
        <v>0.3913482968948257</v>
      </c>
      <c r="L2487" t="b">
        <v>0</v>
      </c>
      <c r="M2487" t="b">
        <v>0</v>
      </c>
      <c r="N2487" t="inlineStr">
        <is>
          <t>alt</t>
        </is>
      </c>
      <c r="O2487" t="n">
        <v>-100</v>
      </c>
      <c r="P2487" t="n">
        <v>0.02374</v>
      </c>
      <c r="Q2487" t="n">
        <v>-45</v>
      </c>
      <c r="R2487" t="n">
        <v>0.1151</v>
      </c>
      <c r="S2487">
        <f>IMAGE("https://mitra.stanford.edu/kundaje/oak/projects/neuro-variants/variant_position/credible/roussos_2024/variant_figures/roussos_2024.infant.GLU/rs9880456_count_position.png",4,220,900)</f>
        <v/>
      </c>
      <c r="T2487">
        <f>IMAGE("https://mitra.stanford.edu/kundaje/oak/projects/neuro-variants/variant_position/credible/roussos_2024/variant_figures/roussos_2024.infant.GLU/rs9880456_profile_position.png",4,220,900)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0.0247092302</v>
      </c>
      <c r="G2488" t="n">
        <v>0.3693431755796894</v>
      </c>
      <c r="H2488" t="n">
        <v>0.0104092636720952</v>
      </c>
      <c r="I2488" t="n">
        <v>0.6988062327519685</v>
      </c>
      <c r="J2488" t="n">
        <v>0.0516479640203707</v>
      </c>
      <c r="K2488" t="n">
        <v>0.3367410284004872</v>
      </c>
      <c r="L2488" t="b">
        <v>0</v>
      </c>
      <c r="M2488" t="b">
        <v>0</v>
      </c>
      <c r="N2488" t="inlineStr">
        <is>
          <t>alt</t>
        </is>
      </c>
      <c r="O2488" t="n">
        <v>100</v>
      </c>
      <c r="P2488" t="n">
        <v>0.0688</v>
      </c>
      <c r="Q2488" t="n">
        <v>100</v>
      </c>
      <c r="R2488" t="n">
        <v>0.2388</v>
      </c>
      <c r="S2488">
        <f>IMAGE("https://mitra.stanford.edu/kundaje/oak/projects/neuro-variants/variant_position/credible/roussos_2024/variant_figures/roussos_2024.infant.GLU/rs4566568_count_position.png",4,220,900)</f>
        <v/>
      </c>
      <c r="T2488">
        <f>IMAGE("https://mitra.stanford.edu/kundaje/oak/projects/neuro-variants/variant_position/credible/roussos_2024/variant_figures/roussos_2024.infant.GLU/rs4566568_profile_position.png",4,220,900)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0.0440877541999999</v>
      </c>
      <c r="G2489" t="n">
        <v>0.1956437346374122</v>
      </c>
      <c r="H2489" t="n">
        <v>0.010577056207466</v>
      </c>
      <c r="I2489" t="n">
        <v>0.6771272590347571</v>
      </c>
      <c r="J2489" t="n">
        <v>0.0172181926409311</v>
      </c>
      <c r="K2489" t="n">
        <v>0.5683754989407063</v>
      </c>
      <c r="L2489" t="b">
        <v>0</v>
      </c>
      <c r="M2489" t="b">
        <v>0</v>
      </c>
      <c r="N2489" t="inlineStr">
        <is>
          <t>alt</t>
        </is>
      </c>
      <c r="O2489" t="n">
        <v>45</v>
      </c>
      <c r="P2489" t="n">
        <v>0.001892</v>
      </c>
      <c r="Q2489" t="n">
        <v>30</v>
      </c>
      <c r="R2489" t="n">
        <v>0.00586</v>
      </c>
      <c r="S2489">
        <f>IMAGE("https://mitra.stanford.edu/kundaje/oak/projects/neuro-variants/variant_position/credible/roussos_2024/variant_figures/roussos_2024.infant.GLU/rs7609916_count_position.png",4,220,900)</f>
        <v/>
      </c>
      <c r="T2489">
        <f>IMAGE("https://mitra.stanford.edu/kundaje/oak/projects/neuro-variants/variant_position/credible/roussos_2024/variant_figures/roussos_2024.infant.GLU/rs7609916_profile_position.png",4,220,900)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0.01037509026</v>
      </c>
      <c r="G2490" t="n">
        <v>0.6132413406302023</v>
      </c>
      <c r="H2490" t="n">
        <v>0.0184330865254669</v>
      </c>
      <c r="I2490" t="n">
        <v>0.2236114014107677</v>
      </c>
      <c r="J2490" t="n">
        <v>0.0027227231640908</v>
      </c>
      <c r="K2490" t="n">
        <v>0.8347430234627068</v>
      </c>
      <c r="L2490" t="b">
        <v>0</v>
      </c>
      <c r="M2490" t="b">
        <v>0</v>
      </c>
      <c r="N2490" t="inlineStr">
        <is>
          <t>alt</t>
        </is>
      </c>
      <c r="O2490" t="n">
        <v>100</v>
      </c>
      <c r="P2490" t="n">
        <v>0.006317</v>
      </c>
      <c r="Q2490" t="n">
        <v>-100</v>
      </c>
      <c r="R2490" t="n">
        <v>0.06519999999999999</v>
      </c>
      <c r="S2490">
        <f>IMAGE("https://mitra.stanford.edu/kundaje/oak/projects/neuro-variants/variant_position/credible/roussos_2024/variant_figures/roussos_2024.infant.GLU/rs11709790_count_position.png",4,220,900)</f>
        <v/>
      </c>
      <c r="T2490">
        <f>IMAGE("https://mitra.stanford.edu/kundaje/oak/projects/neuro-variants/variant_position/credible/roussos_2024/variant_figures/roussos_2024.infant.GLU/rs11709790_profile_position.png",4,220,900)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0.07314540980000001</v>
      </c>
      <c r="G2491" t="n">
        <v>0.09085661102748591</v>
      </c>
      <c r="H2491" t="n">
        <v>0.0125902431479212</v>
      </c>
      <c r="I2491" t="n">
        <v>0.5129841566828769</v>
      </c>
      <c r="J2491" t="n">
        <v>0.0660739875217707</v>
      </c>
      <c r="K2491" t="n">
        <v>0.2901695723584128</v>
      </c>
      <c r="L2491" t="b">
        <v>0</v>
      </c>
      <c r="M2491" t="b">
        <v>0</v>
      </c>
      <c r="N2491" t="inlineStr">
        <is>
          <t>alt</t>
        </is>
      </c>
      <c r="O2491" t="n">
        <v>25</v>
      </c>
      <c r="P2491" t="n">
        <v>0.00312</v>
      </c>
      <c r="Q2491" t="n">
        <v>100</v>
      </c>
      <c r="R2491" t="n">
        <v>0.09784</v>
      </c>
      <c r="S2491">
        <f>IMAGE("https://mitra.stanford.edu/kundaje/oak/projects/neuro-variants/variant_position/credible/roussos_2024/variant_figures/roussos_2024.infant.GLU/rs4616675_count_position.png",4,220,900)</f>
        <v/>
      </c>
      <c r="T2491">
        <f>IMAGE("https://mitra.stanford.edu/kundaje/oak/projects/neuro-variants/variant_position/credible/roussos_2024/variant_figures/roussos_2024.infant.GLU/rs4616675_profile_position.png",4,220,900)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-0.0431876886</v>
      </c>
      <c r="G2492" t="n">
        <v>0.2134057593260921</v>
      </c>
      <c r="H2492" t="n">
        <v>0.008747168512267599</v>
      </c>
      <c r="I2492" t="n">
        <v>0.8444753657111994</v>
      </c>
      <c r="J2492" t="n">
        <v>0.0283328556626027</v>
      </c>
      <c r="K2492" t="n">
        <v>0.4780635168231832</v>
      </c>
      <c r="L2492" t="b">
        <v>0</v>
      </c>
      <c r="M2492" t="b">
        <v>0</v>
      </c>
      <c r="N2492" t="inlineStr">
        <is>
          <t>ref</t>
        </is>
      </c>
      <c r="O2492" t="n">
        <v>-100</v>
      </c>
      <c r="P2492" t="n">
        <v>0.004807</v>
      </c>
      <c r="Q2492" t="n">
        <v>100</v>
      </c>
      <c r="R2492" t="n">
        <v>0.10004</v>
      </c>
      <c r="S2492">
        <f>IMAGE("https://mitra.stanford.edu/kundaje/oak/projects/neuro-variants/variant_position/credible/roussos_2024/variant_figures/roussos_2024.infant.GLU/rs17200916_count_position.png",4,220,900)</f>
        <v/>
      </c>
      <c r="T2492">
        <f>IMAGE("https://mitra.stanford.edu/kundaje/oak/projects/neuro-variants/variant_position/credible/roussos_2024/variant_figures/roussos_2024.infant.GLU/rs17200916_profile_position.png",4,220,900)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-0.0172074872</v>
      </c>
      <c r="G2493" t="n">
        <v>0.5096123192578451</v>
      </c>
      <c r="H2493" t="n">
        <v>0.0119045205035847</v>
      </c>
      <c r="I2493" t="n">
        <v>0.5600855808609946</v>
      </c>
      <c r="J2493" t="n">
        <v>0.0287407129786811</v>
      </c>
      <c r="K2493" t="n">
        <v>0.4650670006644933</v>
      </c>
      <c r="L2493" t="b">
        <v>0</v>
      </c>
      <c r="M2493" t="b">
        <v>0</v>
      </c>
      <c r="N2493" t="inlineStr">
        <is>
          <t>ref</t>
        </is>
      </c>
      <c r="O2493" t="n">
        <v>100</v>
      </c>
      <c r="P2493" t="n">
        <v>0.0856</v>
      </c>
      <c r="Q2493" t="n">
        <v>100</v>
      </c>
      <c r="R2493" t="n">
        <v>0.259</v>
      </c>
      <c r="S2493">
        <f>IMAGE("https://mitra.stanford.edu/kundaje/oak/projects/neuro-variants/variant_position/credible/roussos_2024/variant_figures/roussos_2024.infant.GLU/rs11128871_count_position.png",4,220,900)</f>
        <v/>
      </c>
      <c r="T2493">
        <f>IMAGE("https://mitra.stanford.edu/kundaje/oak/projects/neuro-variants/variant_position/credible/roussos_2024/variant_figures/roussos_2024.infant.GLU/rs11128871_profile_position.png",4,220,900)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-0.0108467419</v>
      </c>
      <c r="G2494" t="n">
        <v>0.6210583666483595</v>
      </c>
      <c r="H2494" t="n">
        <v>0.0064096770112665</v>
      </c>
      <c r="I2494" t="n">
        <v>0.9775254584888134</v>
      </c>
      <c r="J2494" t="n">
        <v>0.0225567142132762</v>
      </c>
      <c r="K2494" t="n">
        <v>0.5127537026648441</v>
      </c>
      <c r="L2494" t="b">
        <v>0</v>
      </c>
      <c r="M2494" t="b">
        <v>0</v>
      </c>
      <c r="N2494" t="inlineStr">
        <is>
          <t>ref</t>
        </is>
      </c>
      <c r="O2494" t="n">
        <v>-100</v>
      </c>
      <c r="P2494" t="n">
        <v>0.02528</v>
      </c>
      <c r="Q2494" t="n">
        <v>-100</v>
      </c>
      <c r="R2494" t="n">
        <v>0.157</v>
      </c>
      <c r="S2494">
        <f>IMAGE("https://mitra.stanford.edu/kundaje/oak/projects/neuro-variants/variant_position/credible/roussos_2024/variant_figures/roussos_2024.infant.GLU/rs12495352_count_position.png",4,220,900)</f>
        <v/>
      </c>
      <c r="T2494">
        <f>IMAGE("https://mitra.stanford.edu/kundaje/oak/projects/neuro-variants/variant_position/credible/roussos_2024/variant_figures/roussos_2024.infant.GLU/rs12495352_profile_position.png",4,220,900)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0.0388388355</v>
      </c>
      <c r="G2495" t="n">
        <v>0.2759592252402749</v>
      </c>
      <c r="H2495" t="n">
        <v>0.0321111940007049</v>
      </c>
      <c r="I2495" t="n">
        <v>0.0463467038532798</v>
      </c>
      <c r="J2495" t="n">
        <v>0.0155051919134019</v>
      </c>
      <c r="K2495" t="n">
        <v>0.5942252122553179</v>
      </c>
      <c r="L2495" t="b">
        <v>0</v>
      </c>
      <c r="M2495" t="b">
        <v>0</v>
      </c>
      <c r="N2495" t="inlineStr">
        <is>
          <t>alt</t>
        </is>
      </c>
      <c r="O2495" t="n">
        <v>-15</v>
      </c>
      <c r="P2495" t="n">
        <v>0.001648</v>
      </c>
      <c r="Q2495" t="n">
        <v>85</v>
      </c>
      <c r="R2495" t="n">
        <v>0.08246000000000001</v>
      </c>
      <c r="S2495">
        <f>IMAGE("https://mitra.stanford.edu/kundaje/oak/projects/neuro-variants/variant_position/credible/roussos_2024/variant_figures/roussos_2024.infant.GLU/rs6771673_count_position.png",4,220,900)</f>
        <v/>
      </c>
      <c r="T2495">
        <f>IMAGE("https://mitra.stanford.edu/kundaje/oak/projects/neuro-variants/variant_position/credible/roussos_2024/variant_figures/roussos_2024.infant.GLU/rs6771673_profile_position.png",4,220,900)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-0.105593126</v>
      </c>
      <c r="G2496" t="n">
        <v>0.0488686352000905</v>
      </c>
      <c r="H2496" t="n">
        <v>0.0269584361237212</v>
      </c>
      <c r="I2496" t="n">
        <v>0.0820132448512837</v>
      </c>
      <c r="J2496" t="n">
        <v>0.0236557243325469</v>
      </c>
      <c r="K2496" t="n">
        <v>0.5007295101370979</v>
      </c>
      <c r="L2496" t="b">
        <v>0</v>
      </c>
      <c r="M2496" t="b">
        <v>0</v>
      </c>
      <c r="N2496" t="inlineStr">
        <is>
          <t>ref</t>
        </is>
      </c>
      <c r="O2496" t="n">
        <v>70</v>
      </c>
      <c r="P2496" t="n">
        <v>0.1577</v>
      </c>
      <c r="Q2496" t="n">
        <v>60</v>
      </c>
      <c r="R2496" t="n">
        <v>0.03754</v>
      </c>
      <c r="S2496">
        <f>IMAGE("https://mitra.stanford.edu/kundaje/oak/projects/neuro-variants/variant_position/credible/roussos_2024/variant_figures/roussos_2024.infant.GLU/rs4908979_count_position.png",4,220,900)</f>
        <v/>
      </c>
      <c r="T2496">
        <f>IMAGE("https://mitra.stanford.edu/kundaje/oak/projects/neuro-variants/variant_position/credible/roussos_2024/variant_figures/roussos_2024.infant.GLU/rs4908979_profile_position.png",4,220,900)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0.1339645208</v>
      </c>
      <c r="G2497" t="n">
        <v>0.0289897435641809</v>
      </c>
      <c r="H2497" t="n">
        <v>0.0261091464512679</v>
      </c>
      <c r="I2497" t="n">
        <v>0.09123132205529209</v>
      </c>
      <c r="J2497" t="n">
        <v>0.0627626270420423</v>
      </c>
      <c r="K2497" t="n">
        <v>0.3217017140954603</v>
      </c>
      <c r="L2497" t="b">
        <v>0</v>
      </c>
      <c r="M2497" t="b">
        <v>0</v>
      </c>
      <c r="N2497" t="inlineStr">
        <is>
          <t>alt</t>
        </is>
      </c>
      <c r="O2497" t="n">
        <v>-10</v>
      </c>
      <c r="P2497" t="n">
        <v>0.002304</v>
      </c>
      <c r="Q2497" t="n">
        <v>30</v>
      </c>
      <c r="R2497" t="n">
        <v>0.03772</v>
      </c>
      <c r="S2497">
        <f>IMAGE("https://mitra.stanford.edu/kundaje/oak/projects/neuro-variants/variant_position/credible/roussos_2024/variant_figures/roussos_2024.infant.GLU/rs2033373_count_position.png",4,220,900)</f>
        <v/>
      </c>
      <c r="T2497">
        <f>IMAGE("https://mitra.stanford.edu/kundaje/oak/projects/neuro-variants/variant_position/credible/roussos_2024/variant_figures/roussos_2024.infant.GLU/rs2033373_profile_position.png",4,220,900)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-0.0142197003999999</v>
      </c>
      <c r="G2498" t="n">
        <v>0.5227159970049833</v>
      </c>
      <c r="H2498" t="n">
        <v>0.0121509808006002</v>
      </c>
      <c r="I2498" t="n">
        <v>0.548460021125834</v>
      </c>
      <c r="J2498" t="n">
        <v>0.0327851143102801</v>
      </c>
      <c r="K2498" t="n">
        <v>0.4381991363581485</v>
      </c>
      <c r="L2498" t="b">
        <v>0</v>
      </c>
      <c r="M2498" t="b">
        <v>0</v>
      </c>
      <c r="N2498" t="inlineStr">
        <is>
          <t>ref</t>
        </is>
      </c>
      <c r="O2498" t="n">
        <v>30</v>
      </c>
      <c r="P2498" t="n">
        <v>0.00894</v>
      </c>
      <c r="Q2498" t="n">
        <v>-95</v>
      </c>
      <c r="R2498" t="n">
        <v>0.05573</v>
      </c>
      <c r="S2498">
        <f>IMAGE("https://mitra.stanford.edu/kundaje/oak/projects/neuro-variants/variant_position/credible/roussos_2024/variant_figures/roussos_2024.infant.GLU/rs7638304_count_position.png",4,220,900)</f>
        <v/>
      </c>
      <c r="T2498">
        <f>IMAGE("https://mitra.stanford.edu/kundaje/oak/projects/neuro-variants/variant_position/credible/roussos_2024/variant_figures/roussos_2024.infant.GLU/rs7638304_profile_position.png",4,220,900)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0.01420273556</v>
      </c>
      <c r="G2499" t="n">
        <v>0.5459107044158614</v>
      </c>
      <c r="H2499" t="n">
        <v>0.03828911594812</v>
      </c>
      <c r="I2499" t="n">
        <v>0.0240618288841138</v>
      </c>
      <c r="J2499" t="n">
        <v>0.0095537820498688</v>
      </c>
      <c r="K2499" t="n">
        <v>0.6636056926255594</v>
      </c>
      <c r="L2499" t="b">
        <v>0</v>
      </c>
      <c r="M2499" t="b">
        <v>0</v>
      </c>
      <c r="N2499" t="inlineStr">
        <is>
          <t>alt</t>
        </is>
      </c>
      <c r="O2499" t="n">
        <v>55</v>
      </c>
      <c r="P2499" t="n">
        <v>0.01465</v>
      </c>
      <c r="Q2499" t="n">
        <v>-40</v>
      </c>
      <c r="R2499" t="n">
        <v>0.03543</v>
      </c>
      <c r="S2499">
        <f>IMAGE("https://mitra.stanford.edu/kundaje/oak/projects/neuro-variants/variant_position/credible/roussos_2024/variant_figures/roussos_2024.infant.GLU/rs6781559_count_position.png",4,220,900)</f>
        <v/>
      </c>
      <c r="T2499">
        <f>IMAGE("https://mitra.stanford.edu/kundaje/oak/projects/neuro-variants/variant_position/credible/roussos_2024/variant_figures/roussos_2024.infant.GLU/rs6781559_profile_position.png",4,220,900)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0.1016770468</v>
      </c>
      <c r="G2500" t="n">
        <v>0.0477560066567891</v>
      </c>
      <c r="H2500" t="n">
        <v>0.0195307885796649</v>
      </c>
      <c r="I2500" t="n">
        <v>0.1956092838145778</v>
      </c>
      <c r="J2500" t="n">
        <v>0.0762516810335324</v>
      </c>
      <c r="K2500" t="n">
        <v>0.2560160516653075</v>
      </c>
      <c r="L2500" t="b">
        <v>0</v>
      </c>
      <c r="M2500" t="b">
        <v>0</v>
      </c>
      <c r="N2500" t="inlineStr">
        <is>
          <t>alt</t>
        </is>
      </c>
      <c r="O2500" t="n">
        <v>20</v>
      </c>
      <c r="P2500" t="n">
        <v>0.005676</v>
      </c>
      <c r="Q2500" t="n">
        <v>-40</v>
      </c>
      <c r="R2500" t="n">
        <v>0.05847</v>
      </c>
      <c r="S2500">
        <f>IMAGE("https://mitra.stanford.edu/kundaje/oak/projects/neuro-variants/variant_position/credible/roussos_2024/variant_figures/roussos_2024.infant.GLU/rs58274299_count_position.png",4,220,900)</f>
        <v/>
      </c>
      <c r="T2500">
        <f>IMAGE("https://mitra.stanford.edu/kundaje/oak/projects/neuro-variants/variant_position/credible/roussos_2024/variant_figures/roussos_2024.infant.GLU/rs58274299_profile_position.png",4,220,900)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-0.040032124</v>
      </c>
      <c r="G2501" t="n">
        <v>0.2503014752934687</v>
      </c>
      <c r="H2501" t="n">
        <v>0.0133752613563601</v>
      </c>
      <c r="I2501" t="n">
        <v>0.4582017631975079</v>
      </c>
      <c r="J2501" t="n">
        <v>0.0368008553980466</v>
      </c>
      <c r="K2501" t="n">
        <v>0.4192454752175719</v>
      </c>
      <c r="L2501" t="b">
        <v>0</v>
      </c>
      <c r="M2501" t="b">
        <v>0</v>
      </c>
      <c r="N2501" t="inlineStr">
        <is>
          <t>ref</t>
        </is>
      </c>
      <c r="O2501" t="n">
        <v>100</v>
      </c>
      <c r="P2501" t="n">
        <v>0.00893</v>
      </c>
      <c r="Q2501" t="n">
        <v>-100</v>
      </c>
      <c r="R2501" t="n">
        <v>0.1965</v>
      </c>
      <c r="S2501">
        <f>IMAGE("https://mitra.stanford.edu/kundaje/oak/projects/neuro-variants/variant_position/credible/roussos_2024/variant_figures/roussos_2024.infant.GLU/rs78158283_count_position.png",4,220,900)</f>
        <v/>
      </c>
      <c r="T2501">
        <f>IMAGE("https://mitra.stanford.edu/kundaje/oak/projects/neuro-variants/variant_position/credible/roussos_2024/variant_figures/roussos_2024.infant.GLU/rs78158283_profile_position.png",4,220,900)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-0.190292106</v>
      </c>
      <c r="G2502" t="n">
        <v>0.0116197444505158</v>
      </c>
      <c r="H2502" t="n">
        <v>0.0282065692532591</v>
      </c>
      <c r="I2502" t="n">
        <v>0.0705542475220753</v>
      </c>
      <c r="J2502" t="n">
        <v>0.09524570647501041</v>
      </c>
      <c r="K2502" t="n">
        <v>0.2246027135878819</v>
      </c>
      <c r="L2502" t="b">
        <v>1</v>
      </c>
      <c r="M2502" t="b">
        <v>0</v>
      </c>
      <c r="N2502" t="inlineStr">
        <is>
          <t>ref</t>
        </is>
      </c>
      <c r="O2502" t="n">
        <v>35</v>
      </c>
      <c r="P2502" t="n">
        <v>0.0105</v>
      </c>
      <c r="Q2502" t="n">
        <v>-25</v>
      </c>
      <c r="R2502" t="n">
        <v>0.02881</v>
      </c>
      <c r="S2502">
        <f>IMAGE("https://mitra.stanford.edu/kundaje/oak/projects/neuro-variants/variant_position/credible/roussos_2024/variant_figures/roussos_2024.infant.GLU/rs77704657_count_position.png",4,220,900)</f>
        <v/>
      </c>
      <c r="T2502">
        <f>IMAGE("https://mitra.stanford.edu/kundaje/oak/projects/neuro-variants/variant_position/credible/roussos_2024/variant_figures/roussos_2024.infant.GLU/rs77704657_profile_position.png",4,220,900)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-0.003085312146</v>
      </c>
      <c r="G2503" t="n">
        <v>0.8218119213066094</v>
      </c>
      <c r="H2503" t="n">
        <v>0.0062330185202423</v>
      </c>
      <c r="I2503" t="n">
        <v>0.9852506783103118</v>
      </c>
      <c r="J2503" t="n">
        <v>0.0136114111863135</v>
      </c>
      <c r="K2503" t="n">
        <v>0.6072395614559656</v>
      </c>
      <c r="L2503" t="b">
        <v>0</v>
      </c>
      <c r="M2503" t="b">
        <v>0</v>
      </c>
      <c r="N2503" t="inlineStr">
        <is>
          <t>ref</t>
        </is>
      </c>
      <c r="O2503" t="n">
        <v>50</v>
      </c>
      <c r="P2503" t="n">
        <v>0.03802</v>
      </c>
      <c r="Q2503" t="n">
        <v>70</v>
      </c>
      <c r="R2503" t="n">
        <v>0.04956</v>
      </c>
      <c r="S2503">
        <f>IMAGE("https://mitra.stanford.edu/kundaje/oak/projects/neuro-variants/variant_position/credible/roussos_2024/variant_figures/roussos_2024.infant.GLU/rs2362188_count_position.png",4,220,900)</f>
        <v/>
      </c>
      <c r="T2503">
        <f>IMAGE("https://mitra.stanford.edu/kundaje/oak/projects/neuro-variants/variant_position/credible/roussos_2024/variant_figures/roussos_2024.infant.GLU/rs2362188_profile_position.png",4,220,900)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0.0467996266</v>
      </c>
      <c r="G2504" t="n">
        <v>0.1962308384369407</v>
      </c>
      <c r="H2504" t="n">
        <v>0.0250045524980972</v>
      </c>
      <c r="I2504" t="n">
        <v>0.1003674432629044</v>
      </c>
      <c r="J2504" t="n">
        <v>0.2092010405873145</v>
      </c>
      <c r="K2504" t="n">
        <v>0.1032070533941628</v>
      </c>
      <c r="L2504" t="b">
        <v>0</v>
      </c>
      <c r="M2504" t="b">
        <v>0</v>
      </c>
      <c r="N2504" t="inlineStr">
        <is>
          <t>alt</t>
        </is>
      </c>
      <c r="O2504" t="n">
        <v>-15</v>
      </c>
      <c r="P2504" t="n">
        <v>0.002075</v>
      </c>
      <c r="Q2504" t="n">
        <v>100</v>
      </c>
      <c r="R2504" t="n">
        <v>0.01514</v>
      </c>
      <c r="S2504">
        <f>IMAGE("https://mitra.stanford.edu/kundaje/oak/projects/neuro-variants/variant_position/credible/roussos_2024/variant_figures/roussos_2024.infant.GLU/rs79369190_count_position.png",4,220,900)</f>
        <v/>
      </c>
      <c r="T2504">
        <f>IMAGE("https://mitra.stanford.edu/kundaje/oak/projects/neuro-variants/variant_position/credible/roussos_2024/variant_figures/roussos_2024.infant.GLU/rs79369190_profile_position.png",4,220,900)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-0.005483618436</v>
      </c>
      <c r="G2505" t="n">
        <v>0.771919050138971</v>
      </c>
      <c r="H2505" t="n">
        <v>0.0221702719065997</v>
      </c>
      <c r="I2505" t="n">
        <v>0.1403672133434494</v>
      </c>
      <c r="J2505" t="n">
        <v>0.0054498555964637</v>
      </c>
      <c r="K2505" t="n">
        <v>0.7411569127263338</v>
      </c>
      <c r="L2505" t="b">
        <v>0</v>
      </c>
      <c r="M2505" t="b">
        <v>0</v>
      </c>
      <c r="N2505" t="inlineStr">
        <is>
          <t>ref</t>
        </is>
      </c>
      <c r="O2505" t="n">
        <v>-60</v>
      </c>
      <c r="P2505" t="n">
        <v>0.007065</v>
      </c>
      <c r="Q2505" t="n">
        <v>100</v>
      </c>
      <c r="R2505" t="n">
        <v>0.2178</v>
      </c>
      <c r="S2505">
        <f>IMAGE("https://mitra.stanford.edu/kundaje/oak/projects/neuro-variants/variant_position/credible/roussos_2024/variant_figures/roussos_2024.infant.GLU/rs1440502_count_position.png",4,220,900)</f>
        <v/>
      </c>
      <c r="T2505">
        <f>IMAGE("https://mitra.stanford.edu/kundaje/oak/projects/neuro-variants/variant_position/credible/roussos_2024/variant_figures/roussos_2024.infant.GLU/rs1440502_profile_position.png",4,220,900)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0.07859904199999999</v>
      </c>
      <c r="G2506" t="n">
        <v>0.07632756222315989</v>
      </c>
      <c r="H2506" t="n">
        <v>0.0122929529176838</v>
      </c>
      <c r="I2506" t="n">
        <v>0.5347038634578892</v>
      </c>
      <c r="J2506" t="n">
        <v>0.26973037324456</v>
      </c>
      <c r="K2506" t="n">
        <v>0.0774495568783013</v>
      </c>
      <c r="L2506" t="b">
        <v>0</v>
      </c>
      <c r="M2506" t="b">
        <v>0</v>
      </c>
      <c r="N2506" t="inlineStr">
        <is>
          <t>alt</t>
        </is>
      </c>
      <c r="O2506" t="n">
        <v>-100</v>
      </c>
      <c r="P2506" t="n">
        <v>0.09204</v>
      </c>
      <c r="Q2506" t="n">
        <v>-40</v>
      </c>
      <c r="R2506" t="n">
        <v>0.1394</v>
      </c>
      <c r="S2506">
        <f>IMAGE("https://mitra.stanford.edu/kundaje/oak/projects/neuro-variants/variant_position/credible/roussos_2024/variant_figures/roussos_2024.infant.GLU/rs7634119_count_position.png",4,220,900)</f>
        <v/>
      </c>
      <c r="T2506">
        <f>IMAGE("https://mitra.stanford.edu/kundaje/oak/projects/neuro-variants/variant_position/credible/roussos_2024/variant_figures/roussos_2024.infant.GLU/rs7634119_profile_position.png",4,220,900)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0.00986320072</v>
      </c>
      <c r="G2507" t="n">
        <v>0.392285089672734</v>
      </c>
      <c r="H2507" t="n">
        <v>0.0133507860915053</v>
      </c>
      <c r="I2507" t="n">
        <v>0.4617093058958555</v>
      </c>
      <c r="J2507" t="n">
        <v>0.0586950770519632</v>
      </c>
      <c r="K2507" t="n">
        <v>0.3263812206936178</v>
      </c>
      <c r="L2507" t="b">
        <v>0</v>
      </c>
      <c r="M2507" t="b">
        <v>0</v>
      </c>
      <c r="N2507" t="inlineStr">
        <is>
          <t>alt</t>
        </is>
      </c>
      <c r="O2507" t="n">
        <v>-75</v>
      </c>
      <c r="P2507" t="n">
        <v>0.003345</v>
      </c>
      <c r="Q2507" t="n">
        <v>65</v>
      </c>
      <c r="R2507" t="n">
        <v>0.05298</v>
      </c>
      <c r="S2507">
        <f>IMAGE("https://mitra.stanford.edu/kundaje/oak/projects/neuro-variants/variant_position/credible/roussos_2024/variant_figures/roussos_2024.infant.GLU/rs140030786_count_position.png",4,220,900)</f>
        <v/>
      </c>
      <c r="T2507">
        <f>IMAGE("https://mitra.stanford.edu/kundaje/oak/projects/neuro-variants/variant_position/credible/roussos_2024/variant_figures/roussos_2024.infant.GLU/rs140030786_profile_position.png",4,220,900)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-0.00551028619</v>
      </c>
      <c r="G2508" t="n">
        <v>0.7066998637166273</v>
      </c>
      <c r="H2508" t="n">
        <v>0.0090701718132883</v>
      </c>
      <c r="I2508" t="n">
        <v>0.8266740195200234</v>
      </c>
      <c r="J2508" t="n">
        <v>0.0279029520051146</v>
      </c>
      <c r="K2508" t="n">
        <v>0.4700109962150061</v>
      </c>
      <c r="L2508" t="b">
        <v>0</v>
      </c>
      <c r="M2508" t="b">
        <v>0</v>
      </c>
      <c r="N2508" t="inlineStr">
        <is>
          <t>ref</t>
        </is>
      </c>
      <c r="O2508" t="n">
        <v>30</v>
      </c>
      <c r="P2508" t="n">
        <v>0.006775</v>
      </c>
      <c r="Q2508" t="n">
        <v>5</v>
      </c>
      <c r="R2508" t="n">
        <v>0.001312</v>
      </c>
      <c r="S2508">
        <f>IMAGE("https://mitra.stanford.edu/kundaje/oak/projects/neuro-variants/variant_position/credible/roussos_2024/variant_figures/roussos_2024.infant.GLU/rs7632532_count_position.png",4,220,900)</f>
        <v/>
      </c>
      <c r="T2508">
        <f>IMAGE("https://mitra.stanford.edu/kundaje/oak/projects/neuro-variants/variant_position/credible/roussos_2024/variant_figures/roussos_2024.infant.GLU/rs7632532_profile_position.png",4,220,900)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-0.172144764</v>
      </c>
      <c r="G2509" t="n">
        <v>0.0154891564667572</v>
      </c>
      <c r="H2509" t="n">
        <v>0.0608855374550322</v>
      </c>
      <c r="I2509" t="n">
        <v>0.0028382586305964</v>
      </c>
      <c r="J2509" t="n">
        <v>0.06397738045371359</v>
      </c>
      <c r="K2509" t="n">
        <v>0.2881144797337911</v>
      </c>
      <c r="L2509" t="b">
        <v>1</v>
      </c>
      <c r="M2509" t="b">
        <v>1</v>
      </c>
      <c r="N2509" t="inlineStr">
        <is>
          <t>ref</t>
        </is>
      </c>
      <c r="O2509" t="n">
        <v>-75</v>
      </c>
      <c r="P2509" t="n">
        <v>0.02165</v>
      </c>
      <c r="Q2509" t="n">
        <v>75</v>
      </c>
      <c r="R2509" t="n">
        <v>0.0481</v>
      </c>
      <c r="S2509">
        <f>IMAGE("https://mitra.stanford.edu/kundaje/oak/projects/neuro-variants/variant_position/credible/roussos_2024/variant_figures/roussos_2024.infant.GLU/rs7634890_count_position.png",4,220,900)</f>
        <v/>
      </c>
      <c r="T2509">
        <f>IMAGE("https://mitra.stanford.edu/kundaje/oak/projects/neuro-variants/variant_position/credible/roussos_2024/variant_figures/roussos_2024.infant.GLU/rs7634890_profile_position.png",4,220,900)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0.07170966238</v>
      </c>
      <c r="G2510" t="n">
        <v>0.1227931730334853</v>
      </c>
      <c r="H2510" t="n">
        <v>0.0197011046456078</v>
      </c>
      <c r="I2510" t="n">
        <v>0.1926907157234121</v>
      </c>
      <c r="J2510" t="n">
        <v>0.1751725126215304</v>
      </c>
      <c r="K2510" t="n">
        <v>0.1356571307099404</v>
      </c>
      <c r="L2510" t="b">
        <v>0</v>
      </c>
      <c r="M2510" t="b">
        <v>0</v>
      </c>
      <c r="N2510" t="inlineStr">
        <is>
          <t>alt</t>
        </is>
      </c>
      <c r="O2510" t="n">
        <v>85</v>
      </c>
      <c r="P2510" t="n">
        <v>0.009639999999999999</v>
      </c>
      <c r="Q2510" t="n">
        <v>75</v>
      </c>
      <c r="R2510" t="n">
        <v>0.06006</v>
      </c>
      <c r="S2510">
        <f>IMAGE("https://mitra.stanford.edu/kundaje/oak/projects/neuro-variants/variant_position/credible/roussos_2024/variant_figures/roussos_2024.infant.GLU/rs1595901_count_position.png",4,220,900)</f>
        <v/>
      </c>
      <c r="T2510">
        <f>IMAGE("https://mitra.stanford.edu/kundaje/oak/projects/neuro-variants/variant_position/credible/roussos_2024/variant_figures/roussos_2024.infant.GLU/rs1595901_profile_position.png",4,220,900)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0.0658434232</v>
      </c>
      <c r="G2511" t="n">
        <v>0.10971495645288</v>
      </c>
      <c r="H2511" t="n">
        <v>0.0115993887092051</v>
      </c>
      <c r="I2511" t="n">
        <v>0.5964952909119079</v>
      </c>
      <c r="J2511" t="n">
        <v>0.0573811151039484</v>
      </c>
      <c r="K2511" t="n">
        <v>0.3331661091270987</v>
      </c>
      <c r="L2511" t="b">
        <v>0</v>
      </c>
      <c r="M2511" t="b">
        <v>0</v>
      </c>
      <c r="N2511" t="inlineStr">
        <is>
          <t>alt</t>
        </is>
      </c>
      <c r="O2511" t="n">
        <v>-95</v>
      </c>
      <c r="P2511" t="n">
        <v>0.003418</v>
      </c>
      <c r="Q2511" t="n">
        <v>40</v>
      </c>
      <c r="R2511" t="n">
        <v>0.1045</v>
      </c>
      <c r="S2511">
        <f>IMAGE("https://mitra.stanford.edu/kundaje/oak/projects/neuro-variants/variant_position/credible/roussos_2024/variant_figures/roussos_2024.infant.GLU/rs6780082_count_position.png",4,220,900)</f>
        <v/>
      </c>
      <c r="T2511">
        <f>IMAGE("https://mitra.stanford.edu/kundaje/oak/projects/neuro-variants/variant_position/credible/roussos_2024/variant_figures/roussos_2024.infant.GLU/rs6780082_profile_position.png",4,220,900)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-0.0238022566</v>
      </c>
      <c r="G2512" t="n">
        <v>0.4005029238738851</v>
      </c>
      <c r="H2512" t="n">
        <v>0.0115185697716547</v>
      </c>
      <c r="I2512" t="n">
        <v>0.5991645907387176</v>
      </c>
      <c r="J2512" t="n">
        <v>0.07535990652351229</v>
      </c>
      <c r="K2512" t="n">
        <v>0.2644024432164887</v>
      </c>
      <c r="L2512" t="b">
        <v>0</v>
      </c>
      <c r="M2512" t="b">
        <v>0</v>
      </c>
      <c r="N2512" t="inlineStr">
        <is>
          <t>ref</t>
        </is>
      </c>
      <c r="O2512" t="n">
        <v>-10</v>
      </c>
      <c r="P2512" t="n">
        <v>0.002289</v>
      </c>
      <c r="Q2512" t="n">
        <v>-15</v>
      </c>
      <c r="R2512" t="n">
        <v>0.03052</v>
      </c>
      <c r="S2512">
        <f>IMAGE("https://mitra.stanford.edu/kundaje/oak/projects/neuro-variants/variant_position/credible/roussos_2024/variant_figures/roussos_2024.infant.GLU/rs17551079_count_position.png",4,220,900)</f>
        <v/>
      </c>
      <c r="T2512">
        <f>IMAGE("https://mitra.stanford.edu/kundaje/oak/projects/neuro-variants/variant_position/credible/roussos_2024/variant_figures/roussos_2024.infant.GLU/rs17551079_profile_position.png",4,220,900)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0.0176668906</v>
      </c>
      <c r="G2513" t="n">
        <v>0.4704020287166179</v>
      </c>
      <c r="H2513" t="n">
        <v>0.0505030086505165</v>
      </c>
      <c r="I2513" t="n">
        <v>0.0072254500791851</v>
      </c>
      <c r="J2513" t="n">
        <v>0.3040278665755417</v>
      </c>
      <c r="K2513" t="n">
        <v>0.0667892417090221</v>
      </c>
      <c r="L2513" t="b">
        <v>1</v>
      </c>
      <c r="M2513" t="b">
        <v>1</v>
      </c>
      <c r="N2513" t="inlineStr">
        <is>
          <t>alt</t>
        </is>
      </c>
      <c r="O2513" t="n">
        <v>55</v>
      </c>
      <c r="P2513" t="n">
        <v>0.01624</v>
      </c>
      <c r="Q2513" t="n">
        <v>-100</v>
      </c>
      <c r="R2513" t="n">
        <v>0.07983</v>
      </c>
      <c r="S2513">
        <f>IMAGE("https://mitra.stanford.edu/kundaje/oak/projects/neuro-variants/variant_position/credible/roussos_2024/variant_figures/roussos_2024.infant.GLU/rs2028408_count_position.png",4,220,900)</f>
        <v/>
      </c>
      <c r="T2513">
        <f>IMAGE("https://mitra.stanford.edu/kundaje/oak/projects/neuro-variants/variant_position/credible/roussos_2024/variant_figures/roussos_2024.infant.GLU/rs2028408_profile_position.png",4,220,900)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-0.0322875814</v>
      </c>
      <c r="G2514" t="n">
        <v>0.2962160375562693</v>
      </c>
      <c r="H2514" t="n">
        <v>0.0685959118701992</v>
      </c>
      <c r="I2514" t="n">
        <v>0.0015406914221135</v>
      </c>
      <c r="J2514" t="n">
        <v>0.2945876231839325</v>
      </c>
      <c r="K2514" t="n">
        <v>0.0696096416201958</v>
      </c>
      <c r="L2514" t="b">
        <v>1</v>
      </c>
      <c r="M2514" t="b">
        <v>1</v>
      </c>
      <c r="N2514" t="inlineStr">
        <is>
          <t>ref</t>
        </is>
      </c>
      <c r="O2514" t="n">
        <v>50</v>
      </c>
      <c r="P2514" t="n">
        <v>0.01727</v>
      </c>
      <c r="Q2514" t="n">
        <v>-100</v>
      </c>
      <c r="R2514" t="n">
        <v>0.0861</v>
      </c>
      <c r="S2514">
        <f>IMAGE("https://mitra.stanford.edu/kundaje/oak/projects/neuro-variants/variant_position/credible/roussos_2024/variant_figures/roussos_2024.infant.GLU/rs2028409_count_position.png",4,220,900)</f>
        <v/>
      </c>
      <c r="T2514">
        <f>IMAGE("https://mitra.stanford.edu/kundaje/oak/projects/neuro-variants/variant_position/credible/roussos_2024/variant_figures/roussos_2024.infant.GLU/rs2028409_profile_position.png",4,220,900)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0.0063104785</v>
      </c>
      <c r="G2515" t="n">
        <v>0.6684296268507919</v>
      </c>
      <c r="H2515" t="n">
        <v>0.0134054807436149</v>
      </c>
      <c r="I2515" t="n">
        <v>0.4547899549562622</v>
      </c>
      <c r="J2515" t="n">
        <v>0.4831389580899049</v>
      </c>
      <c r="K2515" t="n">
        <v>0.0330082705243477</v>
      </c>
      <c r="L2515" t="b">
        <v>0</v>
      </c>
      <c r="M2515" t="b">
        <v>0</v>
      </c>
      <c r="N2515" t="inlineStr">
        <is>
          <t>alt</t>
        </is>
      </c>
      <c r="O2515" t="n">
        <v>100</v>
      </c>
      <c r="P2515" t="n">
        <v>0.0126</v>
      </c>
      <c r="Q2515" t="n">
        <v>100</v>
      </c>
      <c r="R2515" t="n">
        <v>0.05475</v>
      </c>
      <c r="S2515">
        <f>IMAGE("https://mitra.stanford.edu/kundaje/oak/projects/neuro-variants/variant_position/credible/roussos_2024/variant_figures/roussos_2024.infant.GLU/rs12715161_count_position.png",4,220,900)</f>
        <v/>
      </c>
      <c r="T2515">
        <f>IMAGE("https://mitra.stanford.edu/kundaje/oak/projects/neuro-variants/variant_position/credible/roussos_2024/variant_figures/roussos_2024.infant.GLU/rs12715161_profile_position.png",4,220,900)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-0.0009183478599999999</v>
      </c>
      <c r="G2516" t="n">
        <v>0.6358645556377832</v>
      </c>
      <c r="H2516" t="n">
        <v>0.0315431267999586</v>
      </c>
      <c r="I2516" t="n">
        <v>0.0489597563394677</v>
      </c>
      <c r="J2516" t="n">
        <v>0.5180989439802465</v>
      </c>
      <c r="K2516" t="n">
        <v>0.0288789991017517</v>
      </c>
      <c r="L2516" t="b">
        <v>0</v>
      </c>
      <c r="M2516" t="b">
        <v>0</v>
      </c>
      <c r="N2516" t="inlineStr">
        <is>
          <t>ref</t>
        </is>
      </c>
      <c r="O2516" t="n">
        <v>100</v>
      </c>
      <c r="P2516" t="n">
        <v>0.0262</v>
      </c>
      <c r="Q2516" t="n">
        <v>100</v>
      </c>
      <c r="R2516" t="n">
        <v>0.658</v>
      </c>
      <c r="S2516">
        <f>IMAGE("https://mitra.stanford.edu/kundaje/oak/projects/neuro-variants/variant_position/credible/roussos_2024/variant_figures/roussos_2024.infant.GLU/rs7340606_count_position.png",4,220,900)</f>
        <v/>
      </c>
      <c r="T2516">
        <f>IMAGE("https://mitra.stanford.edu/kundaje/oak/projects/neuro-variants/variant_position/credible/roussos_2024/variant_figures/roussos_2024.infant.GLU/rs7340606_profile_position.png",4,220,900)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-0.0882499927999999</v>
      </c>
      <c r="G2517" t="n">
        <v>0.069335228487117</v>
      </c>
      <c r="H2517" t="n">
        <v>0.0426967029271401</v>
      </c>
      <c r="I2517" t="n">
        <v>0.0153666281643615</v>
      </c>
      <c r="J2517" t="n">
        <v>0.0298838157807711</v>
      </c>
      <c r="K2517" t="n">
        <v>0.4549573494960917</v>
      </c>
      <c r="L2517" t="b">
        <v>1</v>
      </c>
      <c r="M2517" t="b">
        <v>0</v>
      </c>
      <c r="N2517" t="inlineStr">
        <is>
          <t>ref</t>
        </is>
      </c>
      <c r="O2517" t="n">
        <v>15</v>
      </c>
      <c r="P2517" t="n">
        <v>0.00928</v>
      </c>
      <c r="Q2517" t="n">
        <v>-5</v>
      </c>
      <c r="R2517" t="n">
        <v>0.014404</v>
      </c>
      <c r="S2517">
        <f>IMAGE("https://mitra.stanford.edu/kundaje/oak/projects/neuro-variants/variant_position/credible/roussos_2024/variant_figures/roussos_2024.infant.GLU/rs7612854_count_position.png",4,220,900)</f>
        <v/>
      </c>
      <c r="T2517">
        <f>IMAGE("https://mitra.stanford.edu/kundaje/oak/projects/neuro-variants/variant_position/credible/roussos_2024/variant_figures/roussos_2024.infant.GLU/rs7612854_profile_position.png",4,220,900)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-0.0338624156</v>
      </c>
      <c r="G2518" t="n">
        <v>0.2818709324384443</v>
      </c>
      <c r="H2518" t="n">
        <v>0.0440145762892759</v>
      </c>
      <c r="I2518" t="n">
        <v>0.0135176669219983</v>
      </c>
      <c r="J2518" t="n">
        <v>0.09659824952049199</v>
      </c>
      <c r="K2518" t="n">
        <v>0.2134976258360881</v>
      </c>
      <c r="L2518" t="b">
        <v>1</v>
      </c>
      <c r="M2518" t="b">
        <v>0</v>
      </c>
      <c r="N2518" t="inlineStr">
        <is>
          <t>ref</t>
        </is>
      </c>
      <c r="O2518" t="n">
        <v>-95</v>
      </c>
      <c r="P2518" t="n">
        <v>0.01132</v>
      </c>
      <c r="Q2518" t="n">
        <v>95</v>
      </c>
      <c r="R2518" t="n">
        <v>0.003876</v>
      </c>
      <c r="S2518">
        <f>IMAGE("https://mitra.stanford.edu/kundaje/oak/projects/neuro-variants/variant_position/credible/roussos_2024/variant_figures/roussos_2024.infant.GLU/rs1449281_count_position.png",4,220,900)</f>
        <v/>
      </c>
      <c r="T2518">
        <f>IMAGE("https://mitra.stanford.edu/kundaje/oak/projects/neuro-variants/variant_position/credible/roussos_2024/variant_figures/roussos_2024.infant.GLU/rs1449281_profile_position.png",4,220,900)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0.0410666166</v>
      </c>
      <c r="G2519" t="n">
        <v>0.2198787188912249</v>
      </c>
      <c r="H2519" t="n">
        <v>0.010044953568048</v>
      </c>
      <c r="I2519" t="n">
        <v>0.725590123892042</v>
      </c>
      <c r="J2519" t="n">
        <v>0.09284265526135931</v>
      </c>
      <c r="K2519" t="n">
        <v>0.2261706799132413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0.03378</v>
      </c>
      <c r="Q2519" t="n">
        <v>-45</v>
      </c>
      <c r="R2519" t="n">
        <v>0.04022</v>
      </c>
      <c r="S2519">
        <f>IMAGE("https://mitra.stanford.edu/kundaje/oak/projects/neuro-variants/variant_position/credible/roussos_2024/variant_figures/roussos_2024.infant.GLU/rs3773124_count_position.png",4,220,900)</f>
        <v/>
      </c>
      <c r="T2519">
        <f>IMAGE("https://mitra.stanford.edu/kundaje/oak/projects/neuro-variants/variant_position/credible/roussos_2024/variant_figures/roussos_2024.infant.GLU/rs3773124_profile_position.png",4,220,900)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-0.00643750054</v>
      </c>
      <c r="G2520" t="n">
        <v>0.6142363053896983</v>
      </c>
      <c r="H2520" t="n">
        <v>0.031846580707953</v>
      </c>
      <c r="I2520" t="n">
        <v>0.0471569430896244</v>
      </c>
      <c r="J2520" t="n">
        <v>0.575416124694107</v>
      </c>
      <c r="K2520" t="n">
        <v>0.0232360885631822</v>
      </c>
      <c r="L2520" t="b">
        <v>0</v>
      </c>
      <c r="M2520" t="b">
        <v>0</v>
      </c>
      <c r="N2520" t="inlineStr">
        <is>
          <t>ref</t>
        </is>
      </c>
      <c r="O2520" t="n">
        <v>30</v>
      </c>
      <c r="P2520" t="n">
        <v>0.00415</v>
      </c>
      <c r="Q2520" t="n">
        <v>85</v>
      </c>
      <c r="R2520" t="n">
        <v>0.166</v>
      </c>
      <c r="S2520">
        <f>IMAGE("https://mitra.stanford.edu/kundaje/oak/projects/neuro-variants/variant_position/credible/roussos_2024/variant_figures/roussos_2024.infant.GLU/rs4680866_count_position.png",4,220,900)</f>
        <v/>
      </c>
      <c r="T2520">
        <f>IMAGE("https://mitra.stanford.edu/kundaje/oak/projects/neuro-variants/variant_position/credible/roussos_2024/variant_figures/roussos_2024.infant.GLU/rs4680866_profile_position.png",4,220,900)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0.0356694675999999</v>
      </c>
      <c r="G2521" t="n">
        <v>0.2003577670716954</v>
      </c>
      <c r="H2521" t="n">
        <v>0.0279584468946001</v>
      </c>
      <c r="I2521" t="n">
        <v>0.07246077372154951</v>
      </c>
      <c r="J2521" t="n">
        <v>0.018925681783108</v>
      </c>
      <c r="K2521" t="n">
        <v>0.5448769818107778</v>
      </c>
      <c r="L2521" t="b">
        <v>0</v>
      </c>
      <c r="M2521" t="b">
        <v>0</v>
      </c>
      <c r="N2521" t="inlineStr">
        <is>
          <t>alt</t>
        </is>
      </c>
      <c r="O2521" t="n">
        <v>75</v>
      </c>
      <c r="P2521" t="n">
        <v>0.001045</v>
      </c>
      <c r="Q2521" t="n">
        <v>-75</v>
      </c>
      <c r="R2521" t="n">
        <v>0.06204</v>
      </c>
      <c r="S2521">
        <f>IMAGE("https://mitra.stanford.edu/kundaje/oak/projects/neuro-variants/variant_position/credible/roussos_2024/variant_figures/roussos_2024.infant.GLU/rs62237196_count_position.png",4,220,900)</f>
        <v/>
      </c>
      <c r="T2521">
        <f>IMAGE("https://mitra.stanford.edu/kundaje/oak/projects/neuro-variants/variant_position/credible/roussos_2024/variant_figures/roussos_2024.infant.GLU/rs62237196_profile_position.png",4,220,900)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-0.012773136</v>
      </c>
      <c r="G2522" t="n">
        <v>0.5760147743121136</v>
      </c>
      <c r="H2522" t="n">
        <v>0.0348816438354468</v>
      </c>
      <c r="I2522" t="n">
        <v>0.0345751449243176</v>
      </c>
      <c r="J2522" t="n">
        <v>0.0166482947154919</v>
      </c>
      <c r="K2522" t="n">
        <v>0.5776883008516103</v>
      </c>
      <c r="L2522" t="b">
        <v>0</v>
      </c>
      <c r="M2522" t="b">
        <v>0</v>
      </c>
      <c r="N2522" t="inlineStr">
        <is>
          <t>ref</t>
        </is>
      </c>
      <c r="O2522" t="n">
        <v>55</v>
      </c>
      <c r="P2522" t="n">
        <v>0.01666</v>
      </c>
      <c r="Q2522" t="n">
        <v>95</v>
      </c>
      <c r="R2522" t="n">
        <v>0.00596</v>
      </c>
      <c r="S2522">
        <f>IMAGE("https://mitra.stanford.edu/kundaje/oak/projects/neuro-variants/variant_position/credible/roussos_2024/variant_figures/roussos_2024.infant.GLU/rs56077410_count_position.png",4,220,900)</f>
        <v/>
      </c>
      <c r="T2522">
        <f>IMAGE("https://mitra.stanford.edu/kundaje/oak/projects/neuro-variants/variant_position/credible/roussos_2024/variant_figures/roussos_2024.infant.GLU/rs56077410_profile_position.png",4,220,900)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-0.007565027508</v>
      </c>
      <c r="G2523" t="n">
        <v>0.7292775401424332</v>
      </c>
      <c r="H2523" t="n">
        <v>0.0158126811880808</v>
      </c>
      <c r="I2523" t="n">
        <v>0.3191368606204862</v>
      </c>
      <c r="J2523" t="n">
        <v>0.8943649551356954</v>
      </c>
      <c r="K2523" t="n">
        <v>0.0036106043960629</v>
      </c>
      <c r="L2523" t="b">
        <v>0</v>
      </c>
      <c r="M2523" t="b">
        <v>0</v>
      </c>
      <c r="N2523" t="inlineStr">
        <is>
          <t>ref</t>
        </is>
      </c>
      <c r="O2523" t="n">
        <v>55</v>
      </c>
      <c r="P2523" t="n">
        <v>0.009429999999999999</v>
      </c>
      <c r="Q2523" t="n">
        <v>100</v>
      </c>
      <c r="R2523" t="n">
        <v>0.2302</v>
      </c>
      <c r="S2523">
        <f>IMAGE("https://mitra.stanford.edu/kundaje/oak/projects/neuro-variants/variant_position/credible/roussos_2024/variant_figures/roussos_2024.infant.GLU/rs76150980_count_position.png",4,220,900)</f>
        <v/>
      </c>
      <c r="T2523">
        <f>IMAGE("https://mitra.stanford.edu/kundaje/oak/projects/neuro-variants/variant_position/credible/roussos_2024/variant_figures/roussos_2024.infant.GLU/rs76150980_profile_position.png",4,220,900)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-0.0317372044</v>
      </c>
      <c r="G2524" t="n">
        <v>0.3011446162894213</v>
      </c>
      <c r="H2524" t="n">
        <v>0.0084777564178846</v>
      </c>
      <c r="I2524" t="n">
        <v>0.8650705432819121</v>
      </c>
      <c r="J2524" t="n">
        <v>0.1512985295090279</v>
      </c>
      <c r="K2524" t="n">
        <v>0.148907794704111</v>
      </c>
      <c r="L2524" t="b">
        <v>0</v>
      </c>
      <c r="M2524" t="b">
        <v>0</v>
      </c>
      <c r="N2524" t="inlineStr">
        <is>
          <t>ref</t>
        </is>
      </c>
      <c r="O2524" t="n">
        <v>75</v>
      </c>
      <c r="P2524" t="n">
        <v>0.0738</v>
      </c>
      <c r="Q2524" t="n">
        <v>85</v>
      </c>
      <c r="R2524" t="n">
        <v>0.2402</v>
      </c>
      <c r="S2524">
        <f>IMAGE("https://mitra.stanford.edu/kundaje/oak/projects/neuro-variants/variant_position/credible/roussos_2024/variant_figures/roussos_2024.infant.GLU/rs62244405_count_position.png",4,220,900)</f>
        <v/>
      </c>
      <c r="T2524">
        <f>IMAGE("https://mitra.stanford.edu/kundaje/oak/projects/neuro-variants/variant_position/credible/roussos_2024/variant_figures/roussos_2024.infant.GLU/rs62244405_profile_position.png",4,220,900)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-0.04123594856</v>
      </c>
      <c r="G2525" t="n">
        <v>0.2408774851786246</v>
      </c>
      <c r="H2525" t="n">
        <v>0.0202205044781775</v>
      </c>
      <c r="I2525" t="n">
        <v>0.1816789964291836</v>
      </c>
      <c r="J2525" t="n">
        <v>0.2875118499085076</v>
      </c>
      <c r="K2525" t="n">
        <v>0.07348279899413181</v>
      </c>
      <c r="L2525" t="b">
        <v>0</v>
      </c>
      <c r="M2525" t="b">
        <v>0</v>
      </c>
      <c r="N2525" t="inlineStr">
        <is>
          <t>ref</t>
        </is>
      </c>
      <c r="O2525" t="n">
        <v>-100</v>
      </c>
      <c r="P2525" t="n">
        <v>0.00621</v>
      </c>
      <c r="Q2525" t="n">
        <v>-65</v>
      </c>
      <c r="R2525" t="n">
        <v>0.04883</v>
      </c>
      <c r="S2525">
        <f>IMAGE("https://mitra.stanford.edu/kundaje/oak/projects/neuro-variants/variant_position/credible/roussos_2024/variant_figures/roussos_2024.infant.GLU/rs17028710_count_position.png",4,220,900)</f>
        <v/>
      </c>
      <c r="T2525">
        <f>IMAGE("https://mitra.stanford.edu/kundaje/oak/projects/neuro-variants/variant_position/credible/roussos_2024/variant_figures/roussos_2024.infant.GLU/rs17028710_profile_position.png",4,220,900)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0.0414608068</v>
      </c>
      <c r="G2526" t="n">
        <v>0.2137269885882095</v>
      </c>
      <c r="H2526" t="n">
        <v>0.0097616867995927</v>
      </c>
      <c r="I2526" t="n">
        <v>0.754683909529593</v>
      </c>
      <c r="J2526" t="n">
        <v>0.0258493353028064</v>
      </c>
      <c r="K2526" t="n">
        <v>0.4899005984793269</v>
      </c>
      <c r="L2526" t="b">
        <v>0</v>
      </c>
      <c r="M2526" t="b">
        <v>0</v>
      </c>
      <c r="N2526" t="inlineStr">
        <is>
          <t>alt</t>
        </is>
      </c>
      <c r="O2526" t="n">
        <v>55</v>
      </c>
      <c r="P2526" t="n">
        <v>0.0115</v>
      </c>
      <c r="Q2526" t="n">
        <v>40</v>
      </c>
      <c r="R2526" t="n">
        <v>0.1143</v>
      </c>
      <c r="S2526">
        <f>IMAGE("https://mitra.stanford.edu/kundaje/oak/projects/neuro-variants/variant_position/credible/roussos_2024/variant_figures/roussos_2024.infant.GLU/rs17028714_count_position.png",4,220,900)</f>
        <v/>
      </c>
      <c r="T2526">
        <f>IMAGE("https://mitra.stanford.edu/kundaje/oak/projects/neuro-variants/variant_position/credible/roussos_2024/variant_figures/roussos_2024.infant.GLU/rs17028714_profile_position.png",4,220,900)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-0.0465021517999999</v>
      </c>
      <c r="G2527" t="n">
        <v>0.1991553884839052</v>
      </c>
      <c r="H2527" t="n">
        <v>0.017138140858507</v>
      </c>
      <c r="I2527" t="n">
        <v>0.2661631243294701</v>
      </c>
      <c r="J2527" t="n">
        <v>0.0195529001962123</v>
      </c>
      <c r="K2527" t="n">
        <v>0.5406173136026101</v>
      </c>
      <c r="L2527" t="b">
        <v>0</v>
      </c>
      <c r="M2527" t="b">
        <v>0</v>
      </c>
      <c r="N2527" t="inlineStr">
        <is>
          <t>ref</t>
        </is>
      </c>
      <c r="O2527" t="n">
        <v>40</v>
      </c>
      <c r="P2527" t="n">
        <v>0.003937</v>
      </c>
      <c r="Q2527" t="n">
        <v>100</v>
      </c>
      <c r="R2527" t="n">
        <v>0.05148</v>
      </c>
      <c r="S2527">
        <f>IMAGE("https://mitra.stanford.edu/kundaje/oak/projects/neuro-variants/variant_position/credible/roussos_2024/variant_figures/roussos_2024.infant.GLU/rs17028716_count_position.png",4,220,900)</f>
        <v/>
      </c>
      <c r="T2527">
        <f>IMAGE("https://mitra.stanford.edu/kundaje/oak/projects/neuro-variants/variant_position/credible/roussos_2024/variant_figures/roussos_2024.infant.GLU/rs17028716_profile_position.png",4,220,900)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0.001116029952</v>
      </c>
      <c r="G2528" t="n">
        <v>0.8526423639944628</v>
      </c>
      <c r="H2528" t="n">
        <v>0.0075135378161667</v>
      </c>
      <c r="I2528" t="n">
        <v>0.928944927897919</v>
      </c>
      <c r="J2528" t="n">
        <v>0.1272481756652483</v>
      </c>
      <c r="K2528" t="n">
        <v>0.1715059822526324</v>
      </c>
      <c r="L2528" t="b">
        <v>0</v>
      </c>
      <c r="M2528" t="b">
        <v>0</v>
      </c>
      <c r="N2528" t="inlineStr">
        <is>
          <t>alt</t>
        </is>
      </c>
      <c r="O2528" t="n">
        <v>60</v>
      </c>
      <c r="P2528" t="n">
        <v>0.01398</v>
      </c>
      <c r="Q2528" t="n">
        <v>70</v>
      </c>
      <c r="R2528" t="n">
        <v>0.10046</v>
      </c>
      <c r="S2528">
        <f>IMAGE("https://mitra.stanford.edu/kundaje/oak/projects/neuro-variants/variant_position/credible/roussos_2024/variant_figures/roussos_2024.infant.GLU/rs1376606_count_position.png",4,220,900)</f>
        <v/>
      </c>
      <c r="T2528">
        <f>IMAGE("https://mitra.stanford.edu/kundaje/oak/projects/neuro-variants/variant_position/credible/roussos_2024/variant_figures/roussos_2024.infant.GLU/rs1376606_profile_position.png",4,220,900)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0.0921158089999999</v>
      </c>
      <c r="G2529" t="n">
        <v>0.0566765257260108</v>
      </c>
      <c r="H2529" t="n">
        <v>0.0122593103614899</v>
      </c>
      <c r="I2529" t="n">
        <v>0.5358689791621216</v>
      </c>
      <c r="J2529" t="n">
        <v>0.0038040962102338</v>
      </c>
      <c r="K2529" t="n">
        <v>0.795507418784141</v>
      </c>
      <c r="L2529" t="b">
        <v>0</v>
      </c>
      <c r="M2529" t="b">
        <v>0</v>
      </c>
      <c r="N2529" t="inlineStr">
        <is>
          <t>alt</t>
        </is>
      </c>
      <c r="O2529" t="n">
        <v>45</v>
      </c>
      <c r="P2529" t="n">
        <v>0.003551</v>
      </c>
      <c r="Q2529" t="n">
        <v>-95</v>
      </c>
      <c r="R2529" t="n">
        <v>0.008255</v>
      </c>
      <c r="S2529">
        <f>IMAGE("https://mitra.stanford.edu/kundaje/oak/projects/neuro-variants/variant_position/credible/roussos_2024/variant_figures/roussos_2024.infant.GLU/rs1553656_count_position.png",4,220,900)</f>
        <v/>
      </c>
      <c r="T2529">
        <f>IMAGE("https://mitra.stanford.edu/kundaje/oak/projects/neuro-variants/variant_position/credible/roussos_2024/variant_figures/roussos_2024.infant.GLU/rs1553656_profile_position.png",4,220,900)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-0.0485134548</v>
      </c>
      <c r="G2530" t="n">
        <v>0.1755345991459612</v>
      </c>
      <c r="H2530" t="n">
        <v>0.0106182952511921</v>
      </c>
      <c r="I2530" t="n">
        <v>0.6814604541905925</v>
      </c>
      <c r="J2530" t="n">
        <v>0.0342798562578539</v>
      </c>
      <c r="K2530" t="n">
        <v>0.4366748138440306</v>
      </c>
      <c r="L2530" t="b">
        <v>0</v>
      </c>
      <c r="M2530" t="b">
        <v>0</v>
      </c>
      <c r="N2530" t="inlineStr">
        <is>
          <t>ref</t>
        </is>
      </c>
      <c r="O2530" t="n">
        <v>-100</v>
      </c>
      <c r="P2530" t="n">
        <v>0.008865</v>
      </c>
      <c r="Q2530" t="n">
        <v>-10</v>
      </c>
      <c r="R2530" t="n">
        <v>0.0249</v>
      </c>
      <c r="S2530">
        <f>IMAGE("https://mitra.stanford.edu/kundaje/oak/projects/neuro-variants/variant_position/credible/roussos_2024/variant_figures/roussos_2024.infant.GLU/rs4624519_count_position.png",4,220,900)</f>
        <v/>
      </c>
      <c r="T2530">
        <f>IMAGE("https://mitra.stanford.edu/kundaje/oak/projects/neuro-variants/variant_position/credible/roussos_2024/variant_figures/roussos_2024.infant.GLU/rs4624519_profile_position.png",4,220,900)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0.0282829404</v>
      </c>
      <c r="G2531" t="n">
        <v>0.3306355632041369</v>
      </c>
      <c r="H2531" t="n">
        <v>0.0782951331015195</v>
      </c>
      <c r="I2531" t="n">
        <v>0.000758290628179</v>
      </c>
      <c r="J2531" t="n">
        <v>0.0012544368262086</v>
      </c>
      <c r="K2531" t="n">
        <v>0.8727934719984523</v>
      </c>
      <c r="L2531" t="b">
        <v>0</v>
      </c>
      <c r="M2531" t="b">
        <v>0</v>
      </c>
      <c r="N2531" t="inlineStr">
        <is>
          <t>alt</t>
        </is>
      </c>
      <c r="O2531" t="n">
        <v>90</v>
      </c>
      <c r="P2531" t="n">
        <v>0.005127</v>
      </c>
      <c r="Q2531" t="n">
        <v>50</v>
      </c>
      <c r="R2531" t="n">
        <v>0.02814</v>
      </c>
      <c r="S2531">
        <f>IMAGE("https://mitra.stanford.edu/kundaje/oak/projects/neuro-variants/variant_position/credible/roussos_2024/variant_figures/roussos_2024.infant.GLU/rs142802540_count_position.png",4,220,900)</f>
        <v/>
      </c>
      <c r="T2531">
        <f>IMAGE("https://mitra.stanford.edu/kundaje/oak/projects/neuro-variants/variant_position/credible/roussos_2024/variant_figures/roussos_2024.infant.GLU/rs142802540_profile_position.png",4,220,900)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0.0573424788</v>
      </c>
      <c r="G2532" t="n">
        <v>0.1429058529834813</v>
      </c>
      <c r="H2532" t="n">
        <v>0.015392972177697</v>
      </c>
      <c r="I2532" t="n">
        <v>0.352797391804148</v>
      </c>
      <c r="J2532" t="n">
        <v>0.0454639652549659</v>
      </c>
      <c r="K2532" t="n">
        <v>0.3671916946349107</v>
      </c>
      <c r="L2532" t="b">
        <v>0</v>
      </c>
      <c r="M2532" t="b">
        <v>0</v>
      </c>
      <c r="N2532" t="inlineStr">
        <is>
          <t>alt</t>
        </is>
      </c>
      <c r="O2532" t="n">
        <v>95</v>
      </c>
      <c r="P2532" t="n">
        <v>0.01497</v>
      </c>
      <c r="Q2532" t="n">
        <v>100</v>
      </c>
      <c r="R2532" t="n">
        <v>0.05573</v>
      </c>
      <c r="S2532">
        <f>IMAGE("https://mitra.stanford.edu/kundaje/oak/projects/neuro-variants/variant_position/credible/roussos_2024/variant_figures/roussos_2024.infant.GLU/rs4789_count_position.png",4,220,900)</f>
        <v/>
      </c>
      <c r="T2532">
        <f>IMAGE("https://mitra.stanford.edu/kundaje/oak/projects/neuro-variants/variant_position/credible/roussos_2024/variant_figures/roussos_2024.infant.GLU/rs4789_profile_position.png",4,220,900)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0.0853757109999999</v>
      </c>
      <c r="G2533" t="n">
        <v>0.0770310988041938</v>
      </c>
      <c r="H2533" t="n">
        <v>0.0213704340769796</v>
      </c>
      <c r="I2533" t="n">
        <v>0.1586287170209693</v>
      </c>
      <c r="J2533" t="n">
        <v>0.0329229039440904</v>
      </c>
      <c r="K2533" t="n">
        <v>0.4345517471495768</v>
      </c>
      <c r="L2533" t="b">
        <v>0</v>
      </c>
      <c r="M2533" t="b">
        <v>0</v>
      </c>
      <c r="N2533" t="inlineStr">
        <is>
          <t>alt</t>
        </is>
      </c>
      <c r="O2533" t="n">
        <v>35</v>
      </c>
      <c r="P2533" t="n">
        <v>0.01062</v>
      </c>
      <c r="Q2533" t="n">
        <v>50</v>
      </c>
      <c r="R2533" t="n">
        <v>0.1366</v>
      </c>
      <c r="S2533">
        <f>IMAGE("https://mitra.stanford.edu/kundaje/oak/projects/neuro-variants/variant_position/credible/roussos_2024/variant_figures/roussos_2024.infant.GLU/rs12637912_count_position.png",4,220,900)</f>
        <v/>
      </c>
      <c r="T2533">
        <f>IMAGE("https://mitra.stanford.edu/kundaje/oak/projects/neuro-variants/variant_position/credible/roussos_2024/variant_figures/roussos_2024.infant.GLU/rs12637912_profile_position.png",4,220,900)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-0.06827912179999999</v>
      </c>
      <c r="G2534" t="n">
        <v>0.10961069861392</v>
      </c>
      <c r="H2534" t="n">
        <v>0.0210700292690184</v>
      </c>
      <c r="I2534" t="n">
        <v>0.160243727512321</v>
      </c>
      <c r="J2534" t="n">
        <v>0.0786646531008178</v>
      </c>
      <c r="K2534" t="n">
        <v>0.2614448947700005</v>
      </c>
      <c r="L2534" t="b">
        <v>0</v>
      </c>
      <c r="M2534" t="b">
        <v>0</v>
      </c>
      <c r="N2534" t="inlineStr">
        <is>
          <t>ref</t>
        </is>
      </c>
      <c r="O2534" t="n">
        <v>-55</v>
      </c>
      <c r="P2534" t="n">
        <v>0.003525</v>
      </c>
      <c r="Q2534" t="n">
        <v>-60</v>
      </c>
      <c r="R2534" t="n">
        <v>0.1033</v>
      </c>
      <c r="S2534">
        <f>IMAGE("https://mitra.stanford.edu/kundaje/oak/projects/neuro-variants/variant_position/credible/roussos_2024/variant_figures/roussos_2024.infant.GLU/rs3732385_count_position.png",4,220,900)</f>
        <v/>
      </c>
      <c r="T2534">
        <f>IMAGE("https://mitra.stanford.edu/kundaje/oak/projects/neuro-variants/variant_position/credible/roussos_2024/variant_figures/roussos_2024.infant.GLU/rs3732385_profile_position.png",4,220,900)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0.01558583992</v>
      </c>
      <c r="G2535" t="n">
        <v>0.5331392018069142</v>
      </c>
      <c r="H2535" t="n">
        <v>0.0101850075342439</v>
      </c>
      <c r="I2535" t="n">
        <v>0.7004701487407909</v>
      </c>
      <c r="J2535" t="n">
        <v>0.0297339006591855</v>
      </c>
      <c r="K2535" t="n">
        <v>0.4622485302685868</v>
      </c>
      <c r="L2535" t="b">
        <v>0</v>
      </c>
      <c r="M2535" t="b">
        <v>0</v>
      </c>
      <c r="N2535" t="inlineStr">
        <is>
          <t>alt</t>
        </is>
      </c>
      <c r="O2535" t="n">
        <v>95</v>
      </c>
      <c r="P2535" t="n">
        <v>0.02872</v>
      </c>
      <c r="Q2535" t="n">
        <v>95</v>
      </c>
      <c r="R2535" t="n">
        <v>0.3289</v>
      </c>
      <c r="S2535">
        <f>IMAGE("https://mitra.stanford.edu/kundaje/oak/projects/neuro-variants/variant_position/credible/roussos_2024/variant_figures/roussos_2024.infant.GLU/rs4678909_count_position.png",4,220,900)</f>
        <v/>
      </c>
      <c r="T2535">
        <f>IMAGE("https://mitra.stanford.edu/kundaje/oak/projects/neuro-variants/variant_position/credible/roussos_2024/variant_figures/roussos_2024.infant.GLU/rs4678909_profile_position.png",4,220,900)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-0.0457714954</v>
      </c>
      <c r="G2536" t="n">
        <v>0.2053558570910169</v>
      </c>
      <c r="H2536" t="n">
        <v>0.0077253025470513</v>
      </c>
      <c r="I2536" t="n">
        <v>0.9104439476695918</v>
      </c>
      <c r="J2536" t="n">
        <v>0.1022079410921757</v>
      </c>
      <c r="K2536" t="n">
        <v>0.2029544558996774</v>
      </c>
      <c r="L2536" t="b">
        <v>0</v>
      </c>
      <c r="M2536" t="b">
        <v>0</v>
      </c>
      <c r="N2536" t="inlineStr">
        <is>
          <t>ref</t>
        </is>
      </c>
      <c r="O2536" t="n">
        <v>-100</v>
      </c>
      <c r="P2536" t="n">
        <v>0.03598</v>
      </c>
      <c r="Q2536" t="n">
        <v>40</v>
      </c>
      <c r="R2536" t="n">
        <v>0.01511</v>
      </c>
      <c r="S2536">
        <f>IMAGE("https://mitra.stanford.edu/kundaje/oak/projects/neuro-variants/variant_position/credible/roussos_2024/variant_figures/roussos_2024.infant.GLU/rs9863798_count_position.png",4,220,900)</f>
        <v/>
      </c>
      <c r="T2536">
        <f>IMAGE("https://mitra.stanford.edu/kundaje/oak/projects/neuro-variants/variant_position/credible/roussos_2024/variant_figures/roussos_2024.infant.GLU/rs9863798_profile_position.png",4,220,900)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-0.1057865764</v>
      </c>
      <c r="G2537" t="n">
        <v>0.0531912511240284</v>
      </c>
      <c r="H2537" t="n">
        <v>0.0153651651892741</v>
      </c>
      <c r="I2537" t="n">
        <v>0.3465393164617265</v>
      </c>
      <c r="J2537" t="n">
        <v>0.0110782865583456</v>
      </c>
      <c r="K2537" t="n">
        <v>0.6483206422528552</v>
      </c>
      <c r="L2537" t="b">
        <v>0</v>
      </c>
      <c r="M2537" t="b">
        <v>0</v>
      </c>
      <c r="N2537" t="inlineStr">
        <is>
          <t>ref</t>
        </is>
      </c>
      <c r="O2537" t="n">
        <v>100</v>
      </c>
      <c r="P2537" t="n">
        <v>0.05975</v>
      </c>
      <c r="Q2537" t="n">
        <v>100</v>
      </c>
      <c r="R2537" t="n">
        <v>0.0206</v>
      </c>
      <c r="S2537">
        <f>IMAGE("https://mitra.stanford.edu/kundaje/oak/projects/neuro-variants/variant_position/credible/roussos_2024/variant_figures/roussos_2024.infant.GLU/rs35979223_count_position.png",4,220,900)</f>
        <v/>
      </c>
      <c r="T2537">
        <f>IMAGE("https://mitra.stanford.edu/kundaje/oak/projects/neuro-variants/variant_position/credible/roussos_2024/variant_figures/roussos_2024.infant.GLU/rs35979223_profile_position.png",4,220,900)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-0.0952050317999999</v>
      </c>
      <c r="G2538" t="n">
        <v>0.0584483713626248</v>
      </c>
      <c r="H2538" t="n">
        <v>0.016710180259543</v>
      </c>
      <c r="I2538" t="n">
        <v>0.294988825194545</v>
      </c>
      <c r="J2538" t="n">
        <v>0.0579532176635287</v>
      </c>
      <c r="K2538" t="n">
        <v>0.3107077490674544</v>
      </c>
      <c r="L2538" t="b">
        <v>0</v>
      </c>
      <c r="M2538" t="b">
        <v>0</v>
      </c>
      <c r="N2538" t="inlineStr">
        <is>
          <t>ref</t>
        </is>
      </c>
      <c r="O2538" t="n">
        <v>100</v>
      </c>
      <c r="P2538" t="n">
        <v>0.0359</v>
      </c>
      <c r="Q2538" t="n">
        <v>-75</v>
      </c>
      <c r="R2538" t="n">
        <v>0.09766</v>
      </c>
      <c r="S2538">
        <f>IMAGE("https://mitra.stanford.edu/kundaje/oak/projects/neuro-variants/variant_position/credible/roussos_2024/variant_figures/roussos_2024.infant.GLU/rs4678910_count_position.png",4,220,900)</f>
        <v/>
      </c>
      <c r="T2538">
        <f>IMAGE("https://mitra.stanford.edu/kundaje/oak/projects/neuro-variants/variant_position/credible/roussos_2024/variant_figures/roussos_2024.infant.GLU/rs4678910_profile_position.png",4,220,900)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0.0602115048</v>
      </c>
      <c r="G2539" t="n">
        <v>0.1321726328139168</v>
      </c>
      <c r="H2539" t="n">
        <v>0.0249534322248072</v>
      </c>
      <c r="I2539" t="n">
        <v>0.1025300951509398</v>
      </c>
      <c r="J2539" t="n">
        <v>0.08266165479838609</v>
      </c>
      <c r="K2539" t="n">
        <v>0.23995377577016</v>
      </c>
      <c r="L2539" t="b">
        <v>0</v>
      </c>
      <c r="M2539" t="b">
        <v>0</v>
      </c>
      <c r="N2539" t="inlineStr">
        <is>
          <t>alt</t>
        </is>
      </c>
      <c r="O2539" t="n">
        <v>40</v>
      </c>
      <c r="P2539" t="n">
        <v>0.01599</v>
      </c>
      <c r="Q2539" t="n">
        <v>35</v>
      </c>
      <c r="R2539" t="n">
        <v>0.07480000000000001</v>
      </c>
      <c r="S2539">
        <f>IMAGE("https://mitra.stanford.edu/kundaje/oak/projects/neuro-variants/variant_position/credible/roussos_2024/variant_figures/roussos_2024.infant.GLU/rs4678911_count_position.png",4,220,900)</f>
        <v/>
      </c>
      <c r="T2539">
        <f>IMAGE("https://mitra.stanford.edu/kundaje/oak/projects/neuro-variants/variant_position/credible/roussos_2024/variant_figures/roussos_2024.infant.GLU/rs4678911_profile_position.png",4,220,900)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-0.01131633902</v>
      </c>
      <c r="G2540" t="n">
        <v>0.5486817722743518</v>
      </c>
      <c r="H2540" t="n">
        <v>0.0452091413744535</v>
      </c>
      <c r="I2540" t="n">
        <v>0.0121767835850425</v>
      </c>
      <c r="J2540" t="n">
        <v>0.0787671685883727</v>
      </c>
      <c r="K2540" t="n">
        <v>0.2493160903601302</v>
      </c>
      <c r="L2540" t="b">
        <v>1</v>
      </c>
      <c r="M2540" t="b">
        <v>0</v>
      </c>
      <c r="N2540" t="inlineStr">
        <is>
          <t>ref</t>
        </is>
      </c>
      <c r="O2540" t="n">
        <v>35</v>
      </c>
      <c r="P2540" t="n">
        <v>0.04202</v>
      </c>
      <c r="Q2540" t="n">
        <v>55</v>
      </c>
      <c r="R2540" t="n">
        <v>0.1464</v>
      </c>
      <c r="S2540">
        <f>IMAGE("https://mitra.stanford.edu/kundaje/oak/projects/neuro-variants/variant_position/credible/roussos_2024/variant_figures/roussos_2024.infant.GLU/rs9819304_count_position.png",4,220,900)</f>
        <v/>
      </c>
      <c r="T2540">
        <f>IMAGE("https://mitra.stanford.edu/kundaje/oak/projects/neuro-variants/variant_position/credible/roussos_2024/variant_figures/roussos_2024.infant.GLU/rs9819304_profile_position.png",4,220,900)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-0.0393964982</v>
      </c>
      <c r="G2541" t="n">
        <v>0.2455512869705922</v>
      </c>
      <c r="H2541" t="n">
        <v>0.0144126419712526</v>
      </c>
      <c r="I2541" t="n">
        <v>0.3909802725087065</v>
      </c>
      <c r="J2541" t="n">
        <v>0.0011629445093586</v>
      </c>
      <c r="K2541" t="n">
        <v>0.9066176487659016</v>
      </c>
      <c r="L2541" t="b">
        <v>0</v>
      </c>
      <c r="M2541" t="b">
        <v>0</v>
      </c>
      <c r="N2541" t="inlineStr">
        <is>
          <t>ref</t>
        </is>
      </c>
      <c r="O2541" t="n">
        <v>100</v>
      </c>
      <c r="P2541" t="n">
        <v>0.01819</v>
      </c>
      <c r="Q2541" t="n">
        <v>-100</v>
      </c>
      <c r="R2541" t="n">
        <v>0.05872</v>
      </c>
      <c r="S2541">
        <f>IMAGE("https://mitra.stanford.edu/kundaje/oak/projects/neuro-variants/variant_position/credible/roussos_2024/variant_figures/roussos_2024.infant.GLU/rs9883001_count_position.png",4,220,900)</f>
        <v/>
      </c>
      <c r="T2541">
        <f>IMAGE("https://mitra.stanford.edu/kundaje/oak/projects/neuro-variants/variant_position/credible/roussos_2024/variant_figures/roussos_2024.infant.GLU/rs9883001_profile_position.png",4,220,900)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-0.191480568</v>
      </c>
      <c r="G2542" t="n">
        <v>0.0112831386829121</v>
      </c>
      <c r="H2542" t="n">
        <v>0.025864656556701</v>
      </c>
      <c r="I2542" t="n">
        <v>0.0909162779806594</v>
      </c>
      <c r="J2542" t="n">
        <v>0.0422330739213826</v>
      </c>
      <c r="K2542" t="n">
        <v>0.3824549906522903</v>
      </c>
      <c r="L2542" t="b">
        <v>1</v>
      </c>
      <c r="M2542" t="b">
        <v>0</v>
      </c>
      <c r="N2542" t="inlineStr">
        <is>
          <t>ref</t>
        </is>
      </c>
      <c r="O2542" t="n">
        <v>45</v>
      </c>
      <c r="P2542" t="n">
        <v>0.002182</v>
      </c>
      <c r="Q2542" t="n">
        <v>-70</v>
      </c>
      <c r="R2542" t="n">
        <v>0.03638</v>
      </c>
      <c r="S2542">
        <f>IMAGE("https://mitra.stanford.edu/kundaje/oak/projects/neuro-variants/variant_position/credible/roussos_2024/variant_figures/roussos_2024.infant.GLU/rs11706780_count_position.png",4,220,900)</f>
        <v/>
      </c>
      <c r="T2542">
        <f>IMAGE("https://mitra.stanford.edu/kundaje/oak/projects/neuro-variants/variant_position/credible/roussos_2024/variant_figures/roussos_2024.infant.GLU/rs11706780_profile_position.png",4,220,900)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-0.0282590167999999</v>
      </c>
      <c r="G2543" t="n">
        <v>0.2388298317205296</v>
      </c>
      <c r="H2543" t="n">
        <v>0.0134969695672204</v>
      </c>
      <c r="I2543" t="n">
        <v>0.4503716270748646</v>
      </c>
      <c r="J2543" t="n">
        <v>0.0712405476311205</v>
      </c>
      <c r="K2543" t="n">
        <v>0.2772544156432436</v>
      </c>
      <c r="L2543" t="b">
        <v>0</v>
      </c>
      <c r="M2543" t="b">
        <v>0</v>
      </c>
      <c r="N2543" t="inlineStr">
        <is>
          <t>ref</t>
        </is>
      </c>
      <c r="O2543" t="n">
        <v>-100</v>
      </c>
      <c r="P2543" t="n">
        <v>0.03464</v>
      </c>
      <c r="Q2543" t="n">
        <v>-20</v>
      </c>
      <c r="R2543" t="n">
        <v>0.01611</v>
      </c>
      <c r="S2543">
        <f>IMAGE("https://mitra.stanford.edu/kundaje/oak/projects/neuro-variants/variant_position/credible/roussos_2024/variant_figures/roussos_2024.infant.GLU/rs11129739_count_position.png",4,220,900)</f>
        <v/>
      </c>
      <c r="T2543">
        <f>IMAGE("https://mitra.stanford.edu/kundaje/oak/projects/neuro-variants/variant_position/credible/roussos_2024/variant_figures/roussos_2024.infant.GLU/rs11129739_profile_position.png",4,220,900)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0.00776716986</v>
      </c>
      <c r="G2544" t="n">
        <v>0.6886029753179305</v>
      </c>
      <c r="H2544" t="n">
        <v>0.0421769395986066</v>
      </c>
      <c r="I2544" t="n">
        <v>0.0162003506463449</v>
      </c>
      <c r="J2544" t="n">
        <v>0.1188584404418086</v>
      </c>
      <c r="K2544" t="n">
        <v>0.1831594264884359</v>
      </c>
      <c r="L2544" t="b">
        <v>1</v>
      </c>
      <c r="M2544" t="b">
        <v>0</v>
      </c>
      <c r="N2544" t="inlineStr">
        <is>
          <t>alt</t>
        </is>
      </c>
      <c r="O2544" t="n">
        <v>-100</v>
      </c>
      <c r="P2544" t="n">
        <v>0.1506</v>
      </c>
      <c r="Q2544" t="n">
        <v>-100</v>
      </c>
      <c r="R2544" t="n">
        <v>0.09705</v>
      </c>
      <c r="S2544">
        <f>IMAGE("https://mitra.stanford.edu/kundaje/oak/projects/neuro-variants/variant_position/credible/roussos_2024/variant_figures/roussos_2024.infant.GLU/rs6807351_count_position.png",4,220,900)</f>
        <v/>
      </c>
      <c r="T2544">
        <f>IMAGE("https://mitra.stanford.edu/kundaje/oak/projects/neuro-variants/variant_position/credible/roussos_2024/variant_figures/roussos_2024.infant.GLU/rs6807351_profile_position.png",4,220,900)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-0.007816340652000001</v>
      </c>
      <c r="G2545" t="n">
        <v>0.7099253507380096</v>
      </c>
      <c r="H2545" t="n">
        <v>0.0303774449708409</v>
      </c>
      <c r="I2545" t="n">
        <v>0.0552304948609458</v>
      </c>
      <c r="J2545" t="n">
        <v>0.4168852928856456</v>
      </c>
      <c r="K2545" t="n">
        <v>0.0421996385535767</v>
      </c>
      <c r="L2545" t="b">
        <v>0</v>
      </c>
      <c r="M2545" t="b">
        <v>0</v>
      </c>
      <c r="N2545" t="inlineStr">
        <is>
          <t>ref</t>
        </is>
      </c>
      <c r="O2545" t="n">
        <v>100</v>
      </c>
      <c r="P2545" t="n">
        <v>0.1378</v>
      </c>
      <c r="Q2545" t="n">
        <v>-85</v>
      </c>
      <c r="R2545" t="n">
        <v>0.1306</v>
      </c>
      <c r="S2545">
        <f>IMAGE("https://mitra.stanford.edu/kundaje/oak/projects/neuro-variants/variant_position/credible/roussos_2024/variant_figures/roussos_2024.infant.GLU/rs6778309_count_position.png",4,220,900)</f>
        <v/>
      </c>
      <c r="T2545">
        <f>IMAGE("https://mitra.stanford.edu/kundaje/oak/projects/neuro-variants/variant_position/credible/roussos_2024/variant_figures/roussos_2024.infant.GLU/rs6778309_profile_position.png",4,220,900)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-0.07410357079999989</v>
      </c>
      <c r="G2546" t="n">
        <v>0.1008735028113034</v>
      </c>
      <c r="H2546" t="n">
        <v>0.0135286127395466</v>
      </c>
      <c r="I2546" t="n">
        <v>0.4484253706639188</v>
      </c>
      <c r="J2546" t="n">
        <v>0.1310754205339623</v>
      </c>
      <c r="K2546" t="n">
        <v>0.1685064738491527</v>
      </c>
      <c r="L2546" t="b">
        <v>0</v>
      </c>
      <c r="M2546" t="b">
        <v>0</v>
      </c>
      <c r="N2546" t="inlineStr">
        <is>
          <t>ref</t>
        </is>
      </c>
      <c r="O2546" t="n">
        <v>35</v>
      </c>
      <c r="P2546" t="n">
        <v>0.003159</v>
      </c>
      <c r="Q2546" t="n">
        <v>-90</v>
      </c>
      <c r="R2546" t="n">
        <v>0.1046</v>
      </c>
      <c r="S2546">
        <f>IMAGE("https://mitra.stanford.edu/kundaje/oak/projects/neuro-variants/variant_position/credible/roussos_2024/variant_figures/roussos_2024.infant.GLU/rs113888150_count_position.png",4,220,900)</f>
        <v/>
      </c>
      <c r="T2546">
        <f>IMAGE("https://mitra.stanford.edu/kundaje/oak/projects/neuro-variants/variant_position/credible/roussos_2024/variant_figures/roussos_2024.infant.GLU/rs113888150_profile_position.png",4,220,900)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0.23183291</v>
      </c>
      <c r="G2547" t="n">
        <v>0.0068111947744564</v>
      </c>
      <c r="H2547" t="n">
        <v>0.0257376660223871</v>
      </c>
      <c r="I2547" t="n">
        <v>0.09403116816024359</v>
      </c>
      <c r="J2547" t="n">
        <v>0.2816706717520227</v>
      </c>
      <c r="K2547" t="n">
        <v>0.07479443814026331</v>
      </c>
      <c r="L2547" t="b">
        <v>1</v>
      </c>
      <c r="M2547" t="b">
        <v>1</v>
      </c>
      <c r="N2547" t="inlineStr">
        <is>
          <t>alt</t>
        </is>
      </c>
      <c r="O2547" t="n">
        <v>-95</v>
      </c>
      <c r="P2547" t="n">
        <v>0.0428</v>
      </c>
      <c r="Q2547" t="n">
        <v>-25</v>
      </c>
      <c r="R2547" t="n">
        <v>0.0337</v>
      </c>
      <c r="S2547">
        <f>IMAGE("https://mitra.stanford.edu/kundaje/oak/projects/neuro-variants/variant_position/credible/roussos_2024/variant_figures/roussos_2024.infant.GLU/rs72862271_count_position.png",4,220,900)</f>
        <v/>
      </c>
      <c r="T2547">
        <f>IMAGE("https://mitra.stanford.edu/kundaje/oak/projects/neuro-variants/variant_position/credible/roussos_2024/variant_figures/roussos_2024.infant.GLU/rs72862271_profile_position.png",4,220,900)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0.01939595946</v>
      </c>
      <c r="G2548" t="n">
        <v>0.4503845571199312</v>
      </c>
      <c r="H2548" t="n">
        <v>0.0238609335365843</v>
      </c>
      <c r="I2548" t="n">
        <v>0.1154093871114984</v>
      </c>
      <c r="J2548" t="n">
        <v>0.0275799731034634</v>
      </c>
      <c r="K2548" t="n">
        <v>0.5014948899771332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0.0524</v>
      </c>
      <c r="Q2548" t="n">
        <v>100</v>
      </c>
      <c r="R2548" t="n">
        <v>0.3423</v>
      </c>
      <c r="S2548">
        <f>IMAGE("https://mitra.stanford.edu/kundaje/oak/projects/neuro-variants/variant_position/credible/roussos_2024/variant_figures/roussos_2024.infant.GLU/rs1812423_count_position.png",4,220,900)</f>
        <v/>
      </c>
      <c r="T2548">
        <f>IMAGE("https://mitra.stanford.edu/kundaje/oak/projects/neuro-variants/variant_position/credible/roussos_2024/variant_figures/roussos_2024.infant.GLU/rs1812423_profile_position.png",4,220,900)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-0.1260473068</v>
      </c>
      <c r="G2549" t="n">
        <v>0.0311366095789972</v>
      </c>
      <c r="H2549" t="n">
        <v>0.0252557542540948</v>
      </c>
      <c r="I2549" t="n">
        <v>0.0985574645473714</v>
      </c>
      <c r="J2549" t="n">
        <v>0.1155933772790405</v>
      </c>
      <c r="K2549" t="n">
        <v>0.1871646357546747</v>
      </c>
      <c r="L2549" t="b">
        <v>0</v>
      </c>
      <c r="M2549" t="b">
        <v>0</v>
      </c>
      <c r="N2549" t="inlineStr">
        <is>
          <t>ref</t>
        </is>
      </c>
      <c r="O2549" t="n">
        <v>100</v>
      </c>
      <c r="P2549" t="n">
        <v>0.009169999999999999</v>
      </c>
      <c r="Q2549" t="n">
        <v>70</v>
      </c>
      <c r="R2549" t="n">
        <v>0.0737</v>
      </c>
      <c r="S2549">
        <f>IMAGE("https://mitra.stanford.edu/kundaje/oak/projects/neuro-variants/variant_position/credible/roussos_2024/variant_figures/roussos_2024.infant.GLU/rs9878581_count_position.png",4,220,900)</f>
        <v/>
      </c>
      <c r="T2549">
        <f>IMAGE("https://mitra.stanford.edu/kundaje/oak/projects/neuro-variants/variant_position/credible/roussos_2024/variant_figures/roussos_2024.infant.GLU/rs9878581_profile_position.png",4,220,900)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-0.1972179679999999</v>
      </c>
      <c r="G2550" t="n">
        <v>0.0106890239147141</v>
      </c>
      <c r="H2550" t="n">
        <v>0.0346794656690557</v>
      </c>
      <c r="I2550" t="n">
        <v>0.035387346616893</v>
      </c>
      <c r="J2550" t="n">
        <v>0.0192354328799135</v>
      </c>
      <c r="K2550" t="n">
        <v>0.5414016441728299</v>
      </c>
      <c r="L2550" t="b">
        <v>1</v>
      </c>
      <c r="M2550" t="b">
        <v>0</v>
      </c>
      <c r="N2550" t="inlineStr">
        <is>
          <t>ref</t>
        </is>
      </c>
      <c r="O2550" t="n">
        <v>35</v>
      </c>
      <c r="P2550" t="n">
        <v>0.012375</v>
      </c>
      <c r="Q2550" t="n">
        <v>-50</v>
      </c>
      <c r="R2550" t="n">
        <v>0.09279999999999999</v>
      </c>
      <c r="S2550">
        <f>IMAGE("https://mitra.stanford.edu/kundaje/oak/projects/neuro-variants/variant_position/credible/roussos_2024/variant_figures/roussos_2024.infant.GLU/rs34054543_count_position.png",4,220,900)</f>
        <v/>
      </c>
      <c r="T2550">
        <f>IMAGE("https://mitra.stanford.edu/kundaje/oak/projects/neuro-variants/variant_position/credible/roussos_2024/variant_figures/roussos_2024.infant.GLU/rs34054543_profile_position.png",4,220,900)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-0.090603273</v>
      </c>
      <c r="G2551" t="n">
        <v>0.0608435047753407</v>
      </c>
      <c r="H2551" t="n">
        <v>0.0203103265154222</v>
      </c>
      <c r="I2551" t="n">
        <v>0.1762785586094458</v>
      </c>
      <c r="J2551" t="n">
        <v>0.4107619215591173</v>
      </c>
      <c r="K2551" t="n">
        <v>0.0435540943785513</v>
      </c>
      <c r="L2551" t="b">
        <v>0</v>
      </c>
      <c r="M2551" t="b">
        <v>0</v>
      </c>
      <c r="N2551" t="inlineStr">
        <is>
          <t>ref</t>
        </is>
      </c>
      <c r="O2551" t="n">
        <v>80</v>
      </c>
      <c r="P2551" t="n">
        <v>0.00894</v>
      </c>
      <c r="Q2551" t="n">
        <v>90</v>
      </c>
      <c r="R2551" t="n">
        <v>0.0643</v>
      </c>
      <c r="S2551">
        <f>IMAGE("https://mitra.stanford.edu/kundaje/oak/projects/neuro-variants/variant_position/credible/roussos_2024/variant_figures/roussos_2024.infant.GLU/rs7627777_count_position.png",4,220,900)</f>
        <v/>
      </c>
      <c r="T2551">
        <f>IMAGE("https://mitra.stanford.edu/kundaje/oak/projects/neuro-variants/variant_position/credible/roussos_2024/variant_figures/roussos_2024.infant.GLU/rs7627777_profile_position.png",4,220,900)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-0.0578212988</v>
      </c>
      <c r="G2552" t="n">
        <v>0.1407083868241365</v>
      </c>
      <c r="H2552" t="n">
        <v>0.0299836131757979</v>
      </c>
      <c r="I2552" t="n">
        <v>0.0580072190126127</v>
      </c>
      <c r="J2552" t="n">
        <v>0.6230924403095306</v>
      </c>
      <c r="K2552" t="n">
        <v>0.0193106391179399</v>
      </c>
      <c r="L2552" t="b">
        <v>0</v>
      </c>
      <c r="M2552" t="b">
        <v>0</v>
      </c>
      <c r="N2552" t="inlineStr">
        <is>
          <t>ref</t>
        </is>
      </c>
      <c r="O2552" t="n">
        <v>-100</v>
      </c>
      <c r="P2552" t="n">
        <v>0.01752</v>
      </c>
      <c r="Q2552" t="n">
        <v>-30</v>
      </c>
      <c r="R2552" t="n">
        <v>0.02515</v>
      </c>
      <c r="S2552">
        <f>IMAGE("https://mitra.stanford.edu/kundaje/oak/projects/neuro-variants/variant_position/credible/roussos_2024/variant_figures/roussos_2024.infant.GLU/rs140503691_count_position.png",4,220,900)</f>
        <v/>
      </c>
      <c r="T2552">
        <f>IMAGE("https://mitra.stanford.edu/kundaje/oak/projects/neuro-variants/variant_position/credible/roussos_2024/variant_figures/roussos_2024.infant.GLU/rs140503691_profile_position.png",4,220,900)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0.1313726812</v>
      </c>
      <c r="G2553" t="n">
        <v>0.0306442775863141</v>
      </c>
      <c r="H2553" t="n">
        <v>0.0254834959761866</v>
      </c>
      <c r="I2553" t="n">
        <v>0.1011528965740072</v>
      </c>
      <c r="J2553" t="n">
        <v>0.5530049163341343</v>
      </c>
      <c r="K2553" t="n">
        <v>0.0253709604777425</v>
      </c>
      <c r="L2553" t="b">
        <v>0</v>
      </c>
      <c r="M2553" t="b">
        <v>0</v>
      </c>
      <c r="N2553" t="inlineStr">
        <is>
          <t>alt</t>
        </is>
      </c>
      <c r="O2553" t="n">
        <v>-100</v>
      </c>
      <c r="P2553" t="n">
        <v>0.09393</v>
      </c>
      <c r="Q2553" t="n">
        <v>50</v>
      </c>
      <c r="R2553" t="n">
        <v>0.04443</v>
      </c>
      <c r="S2553">
        <f>IMAGE("https://mitra.stanford.edu/kundaje/oak/projects/neuro-variants/variant_position/credible/roussos_2024/variant_figures/roussos_2024.infant.GLU/rs10212378_count_position.png",4,220,900)</f>
        <v/>
      </c>
      <c r="T2553">
        <f>IMAGE("https://mitra.stanford.edu/kundaje/oak/projects/neuro-variants/variant_position/credible/roussos_2024/variant_figures/roussos_2024.infant.GLU/rs10212378_profile_position.png",4,220,900)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0.238316166</v>
      </c>
      <c r="G2554" t="n">
        <v>0.0075733263425298</v>
      </c>
      <c r="H2554" t="n">
        <v>0.0350636863783588</v>
      </c>
      <c r="I2554" t="n">
        <v>0.036126826673239</v>
      </c>
      <c r="J2554" t="n">
        <v>0.0311327410216274</v>
      </c>
      <c r="K2554" t="n">
        <v>0.4522799935066719</v>
      </c>
      <c r="L2554" t="b">
        <v>1</v>
      </c>
      <c r="M2554" t="b">
        <v>1</v>
      </c>
      <c r="N2554" t="inlineStr">
        <is>
          <t>alt</t>
        </is>
      </c>
      <c r="O2554" t="n">
        <v>95</v>
      </c>
      <c r="P2554" t="n">
        <v>0.01619</v>
      </c>
      <c r="Q2554" t="n">
        <v>-100</v>
      </c>
      <c r="R2554" t="n">
        <v>0.1891</v>
      </c>
      <c r="S2554">
        <f>IMAGE("https://mitra.stanford.edu/kundaje/oak/projects/neuro-variants/variant_position/credible/roussos_2024/variant_figures/roussos_2024.infant.GLU/rs9756189_count_position.png",4,220,900)</f>
        <v/>
      </c>
      <c r="T2554">
        <f>IMAGE("https://mitra.stanford.edu/kundaje/oak/projects/neuro-variants/variant_position/credible/roussos_2024/variant_figures/roussos_2024.infant.GLU/rs9756189_profile_position.png",4,220,900)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-0.002020452388</v>
      </c>
      <c r="G2555" t="n">
        <v>0.8879847211883738</v>
      </c>
      <c r="H2555" t="n">
        <v>0.0382464848649733</v>
      </c>
      <c r="I2555" t="n">
        <v>0.0242241169923823</v>
      </c>
      <c r="J2555" t="n">
        <v>0.0154335413038205</v>
      </c>
      <c r="K2555" t="n">
        <v>0.5822070117932185</v>
      </c>
      <c r="L2555" t="b">
        <v>0</v>
      </c>
      <c r="M2555" t="b">
        <v>0</v>
      </c>
      <c r="N2555" t="inlineStr">
        <is>
          <t>ref</t>
        </is>
      </c>
      <c r="O2555" t="n">
        <v>60</v>
      </c>
      <c r="P2555" t="n">
        <v>0.005737</v>
      </c>
      <c r="Q2555" t="n">
        <v>30</v>
      </c>
      <c r="R2555" t="n">
        <v>0.0536</v>
      </c>
      <c r="S2555">
        <f>IMAGE("https://mitra.stanford.edu/kundaje/oak/projects/neuro-variants/variant_position/credible/roussos_2024/variant_figures/roussos_2024.infant.GLU/rs3804582_count_position.png",4,220,900)</f>
        <v/>
      </c>
      <c r="T2555">
        <f>IMAGE("https://mitra.stanford.edu/kundaje/oak/projects/neuro-variants/variant_position/credible/roussos_2024/variant_figures/roussos_2024.infant.GLU/rs3804582_profile_position.png",4,220,900)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0.2240761</v>
      </c>
      <c r="G2556" t="n">
        <v>0.0078027606427229</v>
      </c>
      <c r="H2556" t="n">
        <v>0.029002302811546</v>
      </c>
      <c r="I2556" t="n">
        <v>0.0653484950184935</v>
      </c>
      <c r="J2556" t="n">
        <v>0.4828468440662272</v>
      </c>
      <c r="K2556" t="n">
        <v>0.0328716211375306</v>
      </c>
      <c r="L2556" t="b">
        <v>1</v>
      </c>
      <c r="M2556" t="b">
        <v>1</v>
      </c>
      <c r="N2556" t="inlineStr">
        <is>
          <t>alt</t>
        </is>
      </c>
      <c r="O2556" t="n">
        <v>-50</v>
      </c>
      <c r="P2556" t="n">
        <v>0.002686</v>
      </c>
      <c r="Q2556" t="n">
        <v>0</v>
      </c>
      <c r="R2556" t="n">
        <v>0</v>
      </c>
      <c r="S2556">
        <f>IMAGE("https://mitra.stanford.edu/kundaje/oak/projects/neuro-variants/variant_position/credible/roussos_2024/variant_figures/roussos_2024.infant.GLU/rs17635268_count_position.png",4,220,900)</f>
        <v/>
      </c>
      <c r="T2556">
        <f>IMAGE("https://mitra.stanford.edu/kundaje/oak/projects/neuro-variants/variant_position/credible/roussos_2024/variant_figures/roussos_2024.infant.GLU/rs17635268_profile_position.png",4,220,900)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-0.0435330722</v>
      </c>
      <c r="G2557" t="n">
        <v>0.2091888192840978</v>
      </c>
      <c r="H2557" t="n">
        <v>0.0121552211720714</v>
      </c>
      <c r="I2557" t="n">
        <v>0.5477746535917786</v>
      </c>
      <c r="J2557" t="n">
        <v>0.0289126744416763</v>
      </c>
      <c r="K2557" t="n">
        <v>0.481674550942544</v>
      </c>
      <c r="L2557" t="b">
        <v>0</v>
      </c>
      <c r="M2557" t="b">
        <v>0</v>
      </c>
      <c r="N2557" t="inlineStr">
        <is>
          <t>ref</t>
        </is>
      </c>
      <c r="O2557" t="n">
        <v>-100</v>
      </c>
      <c r="P2557" t="n">
        <v>0.001772</v>
      </c>
      <c r="Q2557" t="n">
        <v>-25</v>
      </c>
      <c r="R2557" t="n">
        <v>0.02013</v>
      </c>
      <c r="S2557">
        <f>IMAGE("https://mitra.stanford.edu/kundaje/oak/projects/neuro-variants/variant_position/credible/roussos_2024/variant_figures/roussos_2024.infant.GLU/rs2215709_count_position.png",4,220,900)</f>
        <v/>
      </c>
      <c r="T2557">
        <f>IMAGE("https://mitra.stanford.edu/kundaje/oak/projects/neuro-variants/variant_position/credible/roussos_2024/variant_figures/roussos_2024.infant.GLU/rs2215709_profile_position.png",4,220,900)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-0.0498874912</v>
      </c>
      <c r="G2558" t="n">
        <v>0.1772019961253226</v>
      </c>
      <c r="H2558" t="n">
        <v>0.0108491790956208</v>
      </c>
      <c r="I2558" t="n">
        <v>0.6442708361316668</v>
      </c>
      <c r="J2558" t="n">
        <v>0.0403073259992503</v>
      </c>
      <c r="K2558" t="n">
        <v>0.3850477407164834</v>
      </c>
      <c r="L2558" t="b">
        <v>0</v>
      </c>
      <c r="M2558" t="b">
        <v>0</v>
      </c>
      <c r="N2558" t="inlineStr">
        <is>
          <t>ref</t>
        </is>
      </c>
      <c r="O2558" t="n">
        <v>100</v>
      </c>
      <c r="P2558" t="n">
        <v>0.004333</v>
      </c>
      <c r="Q2558" t="n">
        <v>-50</v>
      </c>
      <c r="R2558" t="n">
        <v>0.06076</v>
      </c>
      <c r="S2558">
        <f>IMAGE("https://mitra.stanford.edu/kundaje/oak/projects/neuro-variants/variant_position/credible/roussos_2024/variant_figures/roussos_2024.infant.GLU/rs17635696_count_position.png",4,220,900)</f>
        <v/>
      </c>
      <c r="T2558">
        <f>IMAGE("https://mitra.stanford.edu/kundaje/oak/projects/neuro-variants/variant_position/credible/roussos_2024/variant_figures/roussos_2024.infant.GLU/rs17635696_profile_position.png",4,220,900)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-0.0591504576</v>
      </c>
      <c r="G2559" t="n">
        <v>0.1314779438401649</v>
      </c>
      <c r="H2559" t="n">
        <v>0.013169519373059</v>
      </c>
      <c r="I2559" t="n">
        <v>0.4682900190955127</v>
      </c>
      <c r="J2559" t="n">
        <v>0.0108379814369805</v>
      </c>
      <c r="K2559" t="n">
        <v>0.6454231435877729</v>
      </c>
      <c r="L2559" t="b">
        <v>0</v>
      </c>
      <c r="M2559" t="b">
        <v>0</v>
      </c>
      <c r="N2559" t="inlineStr">
        <is>
          <t>ref</t>
        </is>
      </c>
      <c r="O2559" t="n">
        <v>-95</v>
      </c>
      <c r="P2559" t="n">
        <v>0.0476</v>
      </c>
      <c r="Q2559" t="n">
        <v>-100</v>
      </c>
      <c r="R2559" t="n">
        <v>0.1257</v>
      </c>
      <c r="S2559">
        <f>IMAGE("https://mitra.stanford.edu/kundaje/oak/projects/neuro-variants/variant_position/credible/roussos_2024/variant_figures/roussos_2024.infant.GLU/rs6771546_count_position.png",4,220,900)</f>
        <v/>
      </c>
      <c r="T2559">
        <f>IMAGE("https://mitra.stanford.edu/kundaje/oak/projects/neuro-variants/variant_position/credible/roussos_2024/variant_figures/roussos_2024.infant.GLU/rs6771546_profile_position.png",4,220,900)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0.00500133356</v>
      </c>
      <c r="G2560" t="n">
        <v>0.7671877682637066</v>
      </c>
      <c r="H2560" t="n">
        <v>0.0106635181988051</v>
      </c>
      <c r="I2560" t="n">
        <v>0.6760247926756097</v>
      </c>
      <c r="J2560" t="n">
        <v>0.0841872616239334</v>
      </c>
      <c r="K2560" t="n">
        <v>0.2395242100824613</v>
      </c>
      <c r="L2560" t="b">
        <v>0</v>
      </c>
      <c r="M2560" t="b">
        <v>0</v>
      </c>
      <c r="N2560" t="inlineStr">
        <is>
          <t>alt</t>
        </is>
      </c>
      <c r="O2560" t="n">
        <v>85</v>
      </c>
      <c r="P2560" t="n">
        <v>0.001495</v>
      </c>
      <c r="Q2560" t="n">
        <v>80</v>
      </c>
      <c r="R2560" t="n">
        <v>0.0567</v>
      </c>
      <c r="S2560">
        <f>IMAGE("https://mitra.stanford.edu/kundaje/oak/projects/neuro-variants/variant_position/credible/roussos_2024/variant_figures/roussos_2024.infant.GLU/rs7609971_count_position.png",4,220,900)</f>
        <v/>
      </c>
      <c r="T2560">
        <f>IMAGE("https://mitra.stanford.edu/kundaje/oak/projects/neuro-variants/variant_position/credible/roussos_2024/variant_figures/roussos_2024.infant.GLU/rs7609971_profile_position.png",4,220,900)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-0.0258329546</v>
      </c>
      <c r="G2561" t="n">
        <v>0.3723823284126284</v>
      </c>
      <c r="H2561" t="n">
        <v>0.0069902341474353</v>
      </c>
      <c r="I2561" t="n">
        <v>0.960731153052378</v>
      </c>
      <c r="J2561" t="n">
        <v>0.0550353843779624</v>
      </c>
      <c r="K2561" t="n">
        <v>0.3279252289479115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0.4404</v>
      </c>
      <c r="Q2561" t="n">
        <v>-70</v>
      </c>
      <c r="R2561" t="n">
        <v>0.10815</v>
      </c>
      <c r="S2561">
        <f>IMAGE("https://mitra.stanford.edu/kundaje/oak/projects/neuro-variants/variant_position/credible/roussos_2024/variant_figures/roussos_2024.infant.GLU/rs58621288_count_position.png",4,220,900)</f>
        <v/>
      </c>
      <c r="T2561">
        <f>IMAGE("https://mitra.stanford.edu/kundaje/oak/projects/neuro-variants/variant_position/credible/roussos_2024/variant_figures/roussos_2024.infant.GLU/rs58621288_profile_position.png",4,220,900)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-0.0022926230199999</v>
      </c>
      <c r="G2562" t="n">
        <v>0.8535022093574101</v>
      </c>
      <c r="H2562" t="n">
        <v>0.01396486968396</v>
      </c>
      <c r="I2562" t="n">
        <v>0.4193521045918403</v>
      </c>
      <c r="J2562" t="n">
        <v>0.07981988139068311</v>
      </c>
      <c r="K2562" t="n">
        <v>0.2475568800480281</v>
      </c>
      <c r="L2562" t="b">
        <v>0</v>
      </c>
      <c r="M2562" t="b">
        <v>0</v>
      </c>
      <c r="N2562" t="inlineStr">
        <is>
          <t>ref</t>
        </is>
      </c>
      <c r="O2562" t="n">
        <v>-100</v>
      </c>
      <c r="P2562" t="n">
        <v>0.01119</v>
      </c>
      <c r="Q2562" t="n">
        <v>90</v>
      </c>
      <c r="R2562" t="n">
        <v>0.2231</v>
      </c>
      <c r="S2562">
        <f>IMAGE("https://mitra.stanford.edu/kundaje/oak/projects/neuro-variants/variant_position/credible/roussos_2024/variant_figures/roussos_2024.infant.GLU/rs2624821_count_position.png",4,220,900)</f>
        <v/>
      </c>
      <c r="T2562">
        <f>IMAGE("https://mitra.stanford.edu/kundaje/oak/projects/neuro-variants/variant_position/credible/roussos_2024/variant_figures/roussos_2024.infant.GLU/rs2624821_profile_position.png",4,220,900)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-0.00609817408</v>
      </c>
      <c r="G2563" t="n">
        <v>0.7103389429285253</v>
      </c>
      <c r="H2563" t="n">
        <v>0.0082423436541397</v>
      </c>
      <c r="I2563" t="n">
        <v>0.8918419059259753</v>
      </c>
      <c r="J2563" t="n">
        <v>0.1051654577922793</v>
      </c>
      <c r="K2563" t="n">
        <v>0.2089851315000207</v>
      </c>
      <c r="L2563" t="b">
        <v>0</v>
      </c>
      <c r="M2563" t="b">
        <v>0</v>
      </c>
      <c r="N2563" t="inlineStr">
        <is>
          <t>ref</t>
        </is>
      </c>
      <c r="O2563" t="n">
        <v>-100</v>
      </c>
      <c r="P2563" t="n">
        <v>0.0329</v>
      </c>
      <c r="Q2563" t="n">
        <v>-100</v>
      </c>
      <c r="R2563" t="n">
        <v>0.0412</v>
      </c>
      <c r="S2563">
        <f>IMAGE("https://mitra.stanford.edu/kundaje/oak/projects/neuro-variants/variant_position/credible/roussos_2024/variant_figures/roussos_2024.infant.GLU/rs62262138_count_position.png",4,220,900)</f>
        <v/>
      </c>
      <c r="T2563">
        <f>IMAGE("https://mitra.stanford.edu/kundaje/oak/projects/neuro-variants/variant_position/credible/roussos_2024/variant_figures/roussos_2024.infant.GLU/rs62262138_profile_position.png",4,220,900)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-0.0319746225</v>
      </c>
      <c r="G2564" t="n">
        <v>0.3036551482421021</v>
      </c>
      <c r="H2564" t="n">
        <v>0.0164282393070121</v>
      </c>
      <c r="I2564" t="n">
        <v>0.3000725250995846</v>
      </c>
      <c r="J2564" t="n">
        <v>0.2341740338190877</v>
      </c>
      <c r="K2564" t="n">
        <v>0.09608420804036601</v>
      </c>
      <c r="L2564" t="b">
        <v>0</v>
      </c>
      <c r="M2564" t="b">
        <v>0</v>
      </c>
      <c r="N2564" t="inlineStr">
        <is>
          <t>ref</t>
        </is>
      </c>
      <c r="O2564" t="n">
        <v>75</v>
      </c>
      <c r="P2564" t="n">
        <v>0.07530000000000001</v>
      </c>
      <c r="Q2564" t="n">
        <v>75</v>
      </c>
      <c r="R2564" t="n">
        <v>0.3167</v>
      </c>
      <c r="S2564">
        <f>IMAGE("https://mitra.stanford.edu/kundaje/oak/projects/neuro-variants/variant_position/credible/roussos_2024/variant_figures/roussos_2024.infant.GLU/rs199956414_count_position.png",4,220,900)</f>
        <v/>
      </c>
      <c r="T2564">
        <f>IMAGE("https://mitra.stanford.edu/kundaje/oak/projects/neuro-variants/variant_position/credible/roussos_2024/variant_figures/roussos_2024.infant.GLU/rs199956414_profile_position.png",4,220,900)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-0.22908782</v>
      </c>
      <c r="G2565" t="n">
        <v>0.0070133519936563</v>
      </c>
      <c r="H2565" t="n">
        <v>0.0318803196379658</v>
      </c>
      <c r="I2565" t="n">
        <v>0.0474040814034923</v>
      </c>
      <c r="J2565" t="n">
        <v>0.2573193853480015</v>
      </c>
      <c r="K2565" t="n">
        <v>0.0847855302633614</v>
      </c>
      <c r="L2565" t="b">
        <v>1</v>
      </c>
      <c r="M2565" t="b">
        <v>1</v>
      </c>
      <c r="N2565" t="inlineStr">
        <is>
          <t>ref</t>
        </is>
      </c>
      <c r="O2565" t="n">
        <v>-100</v>
      </c>
      <c r="P2565" t="n">
        <v>0.02832</v>
      </c>
      <c r="Q2565" t="n">
        <v>-100</v>
      </c>
      <c r="R2565" t="n">
        <v>0.3496</v>
      </c>
      <c r="S2565">
        <f>IMAGE("https://mitra.stanford.edu/kundaje/oak/projects/neuro-variants/variant_position/credible/roussos_2024/variant_figures/roussos_2024.infant.GLU/rs4688690_count_position.png",4,220,900)</f>
        <v/>
      </c>
      <c r="T2565">
        <f>IMAGE("https://mitra.stanford.edu/kundaje/oak/projects/neuro-variants/variant_position/credible/roussos_2024/variant_figures/roussos_2024.infant.GLU/rs4688690_profile_position.png",4,220,900)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-0.0343071992</v>
      </c>
      <c r="G2566" t="n">
        <v>0.2794898707214516</v>
      </c>
      <c r="H2566" t="n">
        <v>0.091169338802962</v>
      </c>
      <c r="I2566" t="n">
        <v>0.0003188324016158</v>
      </c>
      <c r="J2566" t="n">
        <v>0.002464780969598</v>
      </c>
      <c r="K2566" t="n">
        <v>0.8298414582607989</v>
      </c>
      <c r="L2566" t="b">
        <v>0</v>
      </c>
      <c r="M2566" t="b">
        <v>0</v>
      </c>
      <c r="N2566" t="inlineStr">
        <is>
          <t>ref</t>
        </is>
      </c>
      <c r="O2566" t="n">
        <v>-60</v>
      </c>
      <c r="P2566" t="n">
        <v>0.008545000000000001</v>
      </c>
      <c r="Q2566" t="n">
        <v>70</v>
      </c>
      <c r="R2566" t="n">
        <v>0.10095</v>
      </c>
      <c r="S2566">
        <f>IMAGE("https://mitra.stanford.edu/kundaje/oak/projects/neuro-variants/variant_position/credible/roussos_2024/variant_figures/roussos_2024.infant.GLU/rs111439884_count_position.png",4,220,900)</f>
        <v/>
      </c>
      <c r="T2566">
        <f>IMAGE("https://mitra.stanford.edu/kundaje/oak/projects/neuro-variants/variant_position/credible/roussos_2024/variant_figures/roussos_2024.infant.GLU/rs111439884_profile_position.png",4,220,900)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0.115160716</v>
      </c>
      <c r="G2567" t="n">
        <v>0.0385377306086761</v>
      </c>
      <c r="H2567" t="n">
        <v>0.0298129889881253</v>
      </c>
      <c r="I2567" t="n">
        <v>0.0597430966370422</v>
      </c>
      <c r="J2567" t="n">
        <v>0.0267179611543464</v>
      </c>
      <c r="K2567" t="n">
        <v>0.4741714017854646</v>
      </c>
      <c r="L2567" t="b">
        <v>0</v>
      </c>
      <c r="M2567" t="b">
        <v>0</v>
      </c>
      <c r="N2567" t="inlineStr">
        <is>
          <t>alt</t>
        </is>
      </c>
      <c r="O2567" t="n">
        <v>-15</v>
      </c>
      <c r="P2567" t="n">
        <v>0.04324</v>
      </c>
      <c r="Q2567" t="n">
        <v>-35</v>
      </c>
      <c r="R2567" t="n">
        <v>0.07996</v>
      </c>
      <c r="S2567">
        <f>IMAGE("https://mitra.stanford.edu/kundaje/oak/projects/neuro-variants/variant_position/credible/roussos_2024/variant_figures/roussos_2024.infant.GLU/rs34080578_count_position.png",4,220,900)</f>
        <v/>
      </c>
      <c r="T2567">
        <f>IMAGE("https://mitra.stanford.edu/kundaje/oak/projects/neuro-variants/variant_position/credible/roussos_2024/variant_figures/roussos_2024.infant.GLU/rs34080578_profile_position.png",4,220,900)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-0.0906564968</v>
      </c>
      <c r="G2568" t="n">
        <v>0.06481498910712929</v>
      </c>
      <c r="H2568" t="n">
        <v>0.0101169037654654</v>
      </c>
      <c r="I2568" t="n">
        <v>0.7233165822588242</v>
      </c>
      <c r="J2568" t="n">
        <v>0.0113692982649528</v>
      </c>
      <c r="K2568" t="n">
        <v>0.6429615394308416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0.03473</v>
      </c>
      <c r="Q2568" t="n">
        <v>-75</v>
      </c>
      <c r="R2568" t="n">
        <v>0.07605000000000001</v>
      </c>
      <c r="S2568">
        <f>IMAGE("https://mitra.stanford.edu/kundaje/oak/projects/neuro-variants/variant_position/credible/roussos_2024/variant_figures/roussos_2024.infant.GLU/rs2353579_count_position.png",4,220,900)</f>
        <v/>
      </c>
      <c r="T2568">
        <f>IMAGE("https://mitra.stanford.edu/kundaje/oak/projects/neuro-variants/variant_position/credible/roussos_2024/variant_figures/roussos_2024.infant.GLU/rs2353579_profile_position.png",4,220,900)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-0.0456706809999999</v>
      </c>
      <c r="G2569" t="n">
        <v>0.203231865743678</v>
      </c>
      <c r="H2569" t="n">
        <v>0.0289286728440297</v>
      </c>
      <c r="I2569" t="n">
        <v>0.0645890871212917</v>
      </c>
      <c r="J2569" t="n">
        <v>0.0139035252099913</v>
      </c>
      <c r="K2569" t="n">
        <v>0.6109394571519574</v>
      </c>
      <c r="L2569" t="b">
        <v>0</v>
      </c>
      <c r="M2569" t="b">
        <v>0</v>
      </c>
      <c r="N2569" t="inlineStr">
        <is>
          <t>ref</t>
        </is>
      </c>
      <c r="O2569" t="n">
        <v>60</v>
      </c>
      <c r="P2569" t="n">
        <v>0.011986</v>
      </c>
      <c r="Q2569" t="n">
        <v>60</v>
      </c>
      <c r="R2569" t="n">
        <v>0.05795</v>
      </c>
      <c r="S2569">
        <f>IMAGE("https://mitra.stanford.edu/kundaje/oak/projects/neuro-variants/variant_position/credible/roussos_2024/variant_figures/roussos_2024.infant.GLU/rs4688757_count_position.png",4,220,900)</f>
        <v/>
      </c>
      <c r="T2569">
        <f>IMAGE("https://mitra.stanford.edu/kundaje/oak/projects/neuro-variants/variant_position/credible/roussos_2024/variant_figures/roussos_2024.infant.GLU/rs4688757_profile_position.png",4,220,900)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-0.0409812428</v>
      </c>
      <c r="G2570" t="n">
        <v>0.2341736590604801</v>
      </c>
      <c r="H2570" t="n">
        <v>0.008548354514663899</v>
      </c>
      <c r="I2570" t="n">
        <v>0.8633742005815171</v>
      </c>
      <c r="J2570" t="n">
        <v>0.0746158425009369</v>
      </c>
      <c r="K2570" t="n">
        <v>0.2614821054356741</v>
      </c>
      <c r="L2570" t="b">
        <v>0</v>
      </c>
      <c r="M2570" t="b">
        <v>0</v>
      </c>
      <c r="N2570" t="inlineStr">
        <is>
          <t>ref</t>
        </is>
      </c>
      <c r="O2570" t="n">
        <v>-85</v>
      </c>
      <c r="P2570" t="n">
        <v>0.00516</v>
      </c>
      <c r="Q2570" t="n">
        <v>-95</v>
      </c>
      <c r="R2570" t="n">
        <v>0.08452999999999999</v>
      </c>
      <c r="S2570">
        <f>IMAGE("https://mitra.stanford.edu/kundaje/oak/projects/neuro-variants/variant_position/credible/roussos_2024/variant_figures/roussos_2024.infant.GLU/rs6765484_count_position.png",4,220,900)</f>
        <v/>
      </c>
      <c r="T2570">
        <f>IMAGE("https://mitra.stanford.edu/kundaje/oak/projects/neuro-variants/variant_position/credible/roussos_2024/variant_figures/roussos_2024.infant.GLU/rs6765484_profile_position.png",4,220,900)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-0.0125270127</v>
      </c>
      <c r="G2571" t="n">
        <v>0.5883935304194593</v>
      </c>
      <c r="H2571" t="n">
        <v>0.0287935641012393</v>
      </c>
      <c r="I2571" t="n">
        <v>0.06557004647529741</v>
      </c>
      <c r="J2571" t="n">
        <v>0.0311514804118256</v>
      </c>
      <c r="K2571" t="n">
        <v>0.4773263626684052</v>
      </c>
      <c r="L2571" t="b">
        <v>0</v>
      </c>
      <c r="M2571" t="b">
        <v>0</v>
      </c>
      <c r="N2571" t="inlineStr">
        <is>
          <t>ref</t>
        </is>
      </c>
      <c r="O2571" t="n">
        <v>-75</v>
      </c>
      <c r="P2571" t="n">
        <v>0.0166</v>
      </c>
      <c r="Q2571" t="n">
        <v>-45</v>
      </c>
      <c r="R2571" t="n">
        <v>0.04507</v>
      </c>
      <c r="S2571">
        <f>IMAGE("https://mitra.stanford.edu/kundaje/oak/projects/neuro-variants/variant_position/credible/roussos_2024/variant_figures/roussos_2024.infant.GLU/rs7634917_count_position.png",4,220,900)</f>
        <v/>
      </c>
      <c r="T2571">
        <f>IMAGE("https://mitra.stanford.edu/kundaje/oak/projects/neuro-variants/variant_position/credible/roussos_2024/variant_figures/roussos_2024.infant.GLU/rs7634917_profile_position.png",4,220,900)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-0.0497674625999999</v>
      </c>
      <c r="G2572" t="n">
        <v>0.1835486822223395</v>
      </c>
      <c r="H2572" t="n">
        <v>0.0596699691056052</v>
      </c>
      <c r="I2572" t="n">
        <v>0.003148846770155</v>
      </c>
      <c r="J2572" t="n">
        <v>0.0180372142242994</v>
      </c>
      <c r="K2572" t="n">
        <v>0.5606668314958652</v>
      </c>
      <c r="L2572" t="b">
        <v>1</v>
      </c>
      <c r="M2572" t="b">
        <v>0</v>
      </c>
      <c r="N2572" t="inlineStr">
        <is>
          <t>ref</t>
        </is>
      </c>
      <c r="O2572" t="n">
        <v>-45</v>
      </c>
      <c r="P2572" t="n">
        <v>0.00757</v>
      </c>
      <c r="Q2572" t="n">
        <v>-50</v>
      </c>
      <c r="R2572" t="n">
        <v>0.0357</v>
      </c>
      <c r="S2572">
        <f>IMAGE("https://mitra.stanford.edu/kundaje/oak/projects/neuro-variants/variant_position/credible/roussos_2024/variant_figures/roussos_2024.infant.GLU/rs75729494_count_position.png",4,220,900)</f>
        <v/>
      </c>
      <c r="T2572">
        <f>IMAGE("https://mitra.stanford.edu/kundaje/oak/projects/neuro-variants/variant_position/credible/roussos_2024/variant_figures/roussos_2024.infant.GLU/rs75729494_profile_position.png",4,220,900)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-0.0281794438</v>
      </c>
      <c r="G2573" t="n">
        <v>0.3410608441730287</v>
      </c>
      <c r="H2573" t="n">
        <v>0.0479327758092898</v>
      </c>
      <c r="I2573" t="n">
        <v>0.0092197343692227</v>
      </c>
      <c r="J2573" t="n">
        <v>0.0092561564408386</v>
      </c>
      <c r="K2573" t="n">
        <v>0.6721215094054462</v>
      </c>
      <c r="L2573" t="b">
        <v>0</v>
      </c>
      <c r="M2573" t="b">
        <v>0</v>
      </c>
      <c r="N2573" t="inlineStr">
        <is>
          <t>ref</t>
        </is>
      </c>
      <c r="O2573" t="n">
        <v>-100</v>
      </c>
      <c r="P2573" t="n">
        <v>0.0338</v>
      </c>
      <c r="Q2573" t="n">
        <v>50</v>
      </c>
      <c r="R2573" t="n">
        <v>0.0324</v>
      </c>
      <c r="S2573">
        <f>IMAGE("https://mitra.stanford.edu/kundaje/oak/projects/neuro-variants/variant_position/credible/roussos_2024/variant_figures/roussos_2024.infant.GLU/rs6446193_count_position.png",4,220,900)</f>
        <v/>
      </c>
      <c r="T2573">
        <f>IMAGE("https://mitra.stanford.edu/kundaje/oak/projects/neuro-variants/variant_position/credible/roussos_2024/variant_figures/roussos_2024.infant.GLU/rs6446193_profile_position.png",4,220,900)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-0.206524886</v>
      </c>
      <c r="G2574" t="n">
        <v>0.009667546352792799</v>
      </c>
      <c r="H2574" t="n">
        <v>0.0448401401277902</v>
      </c>
      <c r="I2574" t="n">
        <v>0.0127967222261345</v>
      </c>
      <c r="J2574" t="n">
        <v>0.0841993871117088</v>
      </c>
      <c r="K2574" t="n">
        <v>0.2378876646607401</v>
      </c>
      <c r="L2574" t="b">
        <v>1</v>
      </c>
      <c r="M2574" t="b">
        <v>1</v>
      </c>
      <c r="N2574" t="inlineStr">
        <is>
          <t>ref</t>
        </is>
      </c>
      <c r="O2574" t="n">
        <v>5</v>
      </c>
      <c r="P2574" t="n">
        <v>0.002808</v>
      </c>
      <c r="Q2574" t="n">
        <v>85</v>
      </c>
      <c r="R2574" t="n">
        <v>0.2485</v>
      </c>
      <c r="S2574">
        <f>IMAGE("https://mitra.stanford.edu/kundaje/oak/projects/neuro-variants/variant_position/credible/roussos_2024/variant_figures/roussos_2024.infant.GLU/rs11130240_count_position.png",4,220,900)</f>
        <v/>
      </c>
      <c r="T2574">
        <f>IMAGE("https://mitra.stanford.edu/kundaje/oak/projects/neuro-variants/variant_position/credible/roussos_2024/variant_figures/roussos_2024.infant.GLU/rs11130240_profile_position.png",4,220,900)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-0.204518974</v>
      </c>
      <c r="G2575" t="n">
        <v>0.0095445843262148</v>
      </c>
      <c r="H2575" t="n">
        <v>0.024141870014957</v>
      </c>
      <c r="I2575" t="n">
        <v>0.1109118963644546</v>
      </c>
      <c r="J2575" t="n">
        <v>0.0890143080755748</v>
      </c>
      <c r="K2575" t="n">
        <v>0.2284498644387486</v>
      </c>
      <c r="L2575" t="b">
        <v>1</v>
      </c>
      <c r="M2575" t="b">
        <v>1</v>
      </c>
      <c r="N2575" t="inlineStr">
        <is>
          <t>ref</t>
        </is>
      </c>
      <c r="O2575" t="n">
        <v>-90</v>
      </c>
      <c r="P2575" t="n">
        <v>0.08550000000000001</v>
      </c>
      <c r="Q2575" t="n">
        <v>-10</v>
      </c>
      <c r="R2575" t="n">
        <v>0.02637</v>
      </c>
      <c r="S2575">
        <f>IMAGE("https://mitra.stanford.edu/kundaje/oak/projects/neuro-variants/variant_position/credible/roussos_2024/variant_figures/roussos_2024.infant.GLU/rs9866695_count_position.png",4,220,900)</f>
        <v/>
      </c>
      <c r="T2575">
        <f>IMAGE("https://mitra.stanford.edu/kundaje/oak/projects/neuro-variants/variant_position/credible/roussos_2024/variant_figures/roussos_2024.infant.GLU/rs9866695_profile_position.png",4,220,900)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0.00833248296</v>
      </c>
      <c r="G2576" t="n">
        <v>0.6562792549722833</v>
      </c>
      <c r="H2576" t="n">
        <v>0.029322182532954</v>
      </c>
      <c r="I2576" t="n">
        <v>0.0623065738056191</v>
      </c>
      <c r="J2576" t="n">
        <v>0.0569534160806013</v>
      </c>
      <c r="K2576" t="n">
        <v>0.3172705083160298</v>
      </c>
      <c r="L2576" t="b">
        <v>0</v>
      </c>
      <c r="M2576" t="b">
        <v>0</v>
      </c>
      <c r="N2576" t="inlineStr">
        <is>
          <t>alt</t>
        </is>
      </c>
      <c r="O2576" t="n">
        <v>-65</v>
      </c>
      <c r="P2576" t="n">
        <v>0.02904</v>
      </c>
      <c r="Q2576" t="n">
        <v>-75</v>
      </c>
      <c r="R2576" t="n">
        <v>0.3716</v>
      </c>
      <c r="S2576">
        <f>IMAGE("https://mitra.stanford.edu/kundaje/oak/projects/neuro-variants/variant_position/credible/roussos_2024/variant_figures/roussos_2024.infant.GLU/rs12486470_count_position.png",4,220,900)</f>
        <v/>
      </c>
      <c r="T2576">
        <f>IMAGE("https://mitra.stanford.edu/kundaje/oak/projects/neuro-variants/variant_position/credible/roussos_2024/variant_figures/roussos_2024.infant.GLU/rs12486470_profile_position.png",4,220,900)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0.0549522344</v>
      </c>
      <c r="G2577" t="n">
        <v>0.1573569399215048</v>
      </c>
      <c r="H2577" t="n">
        <v>0.0106535017557931</v>
      </c>
      <c r="I2577" t="n">
        <v>0.6740275473741649</v>
      </c>
      <c r="J2577" t="n">
        <v>0.0178828898344319</v>
      </c>
      <c r="K2577" t="n">
        <v>0.5565578877975345</v>
      </c>
      <c r="L2577" t="b">
        <v>0</v>
      </c>
      <c r="M2577" t="b">
        <v>0</v>
      </c>
      <c r="N2577" t="inlineStr">
        <is>
          <t>alt</t>
        </is>
      </c>
      <c r="O2577" t="n">
        <v>-100</v>
      </c>
      <c r="P2577" t="n">
        <v>0.351</v>
      </c>
      <c r="Q2577" t="n">
        <v>-90</v>
      </c>
      <c r="R2577" t="n">
        <v>0.1031</v>
      </c>
      <c r="S2577">
        <f>IMAGE("https://mitra.stanford.edu/kundaje/oak/projects/neuro-variants/variant_position/credible/roussos_2024/variant_figures/roussos_2024.infant.GLU/rs62263590_count_position.png",4,220,900)</f>
        <v/>
      </c>
      <c r="T2577">
        <f>IMAGE("https://mitra.stanford.edu/kundaje/oak/projects/neuro-variants/variant_position/credible/roussos_2024/variant_figures/roussos_2024.infant.GLU/rs62263590_profile_position.png",4,220,900)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0.008962365519999901</v>
      </c>
      <c r="G2578" t="n">
        <v>0.6355116850774978</v>
      </c>
      <c r="H2578" t="n">
        <v>0.0134086645273658</v>
      </c>
      <c r="I2578" t="n">
        <v>0.4575021808320037</v>
      </c>
      <c r="J2578" t="n">
        <v>0.0151689852069048</v>
      </c>
      <c r="K2578" t="n">
        <v>0.5982058530279849</v>
      </c>
      <c r="L2578" t="b">
        <v>0</v>
      </c>
      <c r="M2578" t="b">
        <v>0</v>
      </c>
      <c r="N2578" t="inlineStr">
        <is>
          <t>alt</t>
        </is>
      </c>
      <c r="O2578" t="n">
        <v>-60</v>
      </c>
      <c r="P2578" t="n">
        <v>0.006443</v>
      </c>
      <c r="Q2578" t="n">
        <v>100</v>
      </c>
      <c r="R2578" t="n">
        <v>0.0009155</v>
      </c>
      <c r="S2578">
        <f>IMAGE("https://mitra.stanford.edu/kundaje/oak/projects/neuro-variants/variant_position/credible/roussos_2024/variant_figures/roussos_2024.infant.GLU/rs3733133_count_position.png",4,220,900)</f>
        <v/>
      </c>
      <c r="T2578">
        <f>IMAGE("https://mitra.stanford.edu/kundaje/oak/projects/neuro-variants/variant_position/credible/roussos_2024/variant_figures/roussos_2024.infant.GLU/rs3733133_profile_position.png",4,220,900)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0.0250760209999999</v>
      </c>
      <c r="G2579" t="n">
        <v>0.3869893560595333</v>
      </c>
      <c r="H2579" t="n">
        <v>0.0179835175546279</v>
      </c>
      <c r="I2579" t="n">
        <v>0.2403456875566063</v>
      </c>
      <c r="J2579" t="n">
        <v>0.021303379704138</v>
      </c>
      <c r="K2579" t="n">
        <v>0.5258531603575239</v>
      </c>
      <c r="L2579" t="b">
        <v>0</v>
      </c>
      <c r="M2579" t="b">
        <v>0</v>
      </c>
      <c r="N2579" t="inlineStr">
        <is>
          <t>alt</t>
        </is>
      </c>
      <c r="O2579" t="n">
        <v>-100</v>
      </c>
      <c r="P2579" t="n">
        <v>0.008704999999999999</v>
      </c>
      <c r="Q2579" t="n">
        <v>90</v>
      </c>
      <c r="R2579" t="n">
        <v>0.0385</v>
      </c>
      <c r="S2579">
        <f>IMAGE("https://mitra.stanford.edu/kundaje/oak/projects/neuro-variants/variant_position/credible/roussos_2024/variant_figures/roussos_2024.infant.GLU/rs2624847_count_position.png",4,220,900)</f>
        <v/>
      </c>
      <c r="T2579">
        <f>IMAGE("https://mitra.stanford.edu/kundaje/oak/projects/neuro-variants/variant_position/credible/roussos_2024/variant_figures/roussos_2024.infant.GLU/rs2624847_profile_position.png",4,220,900)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-0.0076536904</v>
      </c>
      <c r="G2580" t="n">
        <v>0.6233543272621533</v>
      </c>
      <c r="H2580" t="n">
        <v>0.0116859590634811</v>
      </c>
      <c r="I2580" t="n">
        <v>0.5856803975040259</v>
      </c>
      <c r="J2580" t="n">
        <v>0.1188771798320068</v>
      </c>
      <c r="K2580" t="n">
        <v>0.1894540824722534</v>
      </c>
      <c r="L2580" t="b">
        <v>0</v>
      </c>
      <c r="M2580" t="b">
        <v>0</v>
      </c>
      <c r="N2580" t="inlineStr">
        <is>
          <t>ref</t>
        </is>
      </c>
      <c r="O2580" t="n">
        <v>-100</v>
      </c>
      <c r="P2580" t="n">
        <v>0.01502</v>
      </c>
      <c r="Q2580" t="n">
        <v>-70</v>
      </c>
      <c r="R2580" t="n">
        <v>0.1736</v>
      </c>
      <c r="S2580">
        <f>IMAGE("https://mitra.stanford.edu/kundaje/oak/projects/neuro-variants/variant_position/credible/roussos_2024/variant_figures/roussos_2024.infant.GLU/rs12054052_count_position.png",4,220,900)</f>
        <v/>
      </c>
      <c r="T2580">
        <f>IMAGE("https://mitra.stanford.edu/kundaje/oak/projects/neuro-variants/variant_position/credible/roussos_2024/variant_figures/roussos_2024.infant.GLU/rs12054052_profile_position.png",4,220,900)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0.01417150934</v>
      </c>
      <c r="G2581" t="n">
        <v>0.5598517960934478</v>
      </c>
      <c r="H2581" t="n">
        <v>0.0133457190093743</v>
      </c>
      <c r="I2581" t="n">
        <v>0.4550164515317627</v>
      </c>
      <c r="J2581" t="n">
        <v>0.1808847196807689</v>
      </c>
      <c r="K2581" t="n">
        <v>0.1248686930531243</v>
      </c>
      <c r="L2581" t="b">
        <v>0</v>
      </c>
      <c r="M2581" t="b">
        <v>0</v>
      </c>
      <c r="N2581" t="inlineStr">
        <is>
          <t>alt</t>
        </is>
      </c>
      <c r="O2581" t="n">
        <v>-60</v>
      </c>
      <c r="P2581" t="n">
        <v>0.003887</v>
      </c>
      <c r="Q2581" t="n">
        <v>-75</v>
      </c>
      <c r="R2581" t="n">
        <v>0.0329</v>
      </c>
      <c r="S2581">
        <f>IMAGE("https://mitra.stanford.edu/kundaje/oak/projects/neuro-variants/variant_position/credible/roussos_2024/variant_figures/roussos_2024.infant.GLU/rs2624835_count_position.png",4,220,900)</f>
        <v/>
      </c>
      <c r="T2581">
        <f>IMAGE("https://mitra.stanford.edu/kundaje/oak/projects/neuro-variants/variant_position/credible/roussos_2024/variant_figures/roussos_2024.infant.GLU/rs2624835_profile_position.png",4,220,900)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-0.0050069930799999</v>
      </c>
      <c r="G2582" t="n">
        <v>0.7239510737832705</v>
      </c>
      <c r="H2582" t="n">
        <v>0.0143609271657468</v>
      </c>
      <c r="I2582" t="n">
        <v>0.3950201067790657</v>
      </c>
      <c r="J2582" t="n">
        <v>0.0298672810247139</v>
      </c>
      <c r="K2582" t="n">
        <v>0.4674926522373947</v>
      </c>
      <c r="L2582" t="b">
        <v>0</v>
      </c>
      <c r="M2582" t="b">
        <v>0</v>
      </c>
      <c r="N2582" t="inlineStr">
        <is>
          <t>ref</t>
        </is>
      </c>
      <c r="O2582" t="n">
        <v>-15</v>
      </c>
      <c r="P2582" t="n">
        <v>0.002163</v>
      </c>
      <c r="Q2582" t="n">
        <v>100</v>
      </c>
      <c r="R2582" t="n">
        <v>0.0731</v>
      </c>
      <c r="S2582">
        <f>IMAGE("https://mitra.stanford.edu/kundaje/oak/projects/neuro-variants/variant_position/credible/roussos_2024/variant_figures/roussos_2024.infant.GLU/rs3755831_count_position.png",4,220,900)</f>
        <v/>
      </c>
      <c r="T2582">
        <f>IMAGE("https://mitra.stanford.edu/kundaje/oak/projects/neuro-variants/variant_position/credible/roussos_2024/variant_figures/roussos_2024.infant.GLU/rs3755831_profile_position.png",4,220,900)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-0.0278029996</v>
      </c>
      <c r="G2583" t="n">
        <v>0.2036623986603454</v>
      </c>
      <c r="H2583" t="n">
        <v>0.0131165047287884</v>
      </c>
      <c r="I2583" t="n">
        <v>0.4775282151695285</v>
      </c>
      <c r="J2583" t="n">
        <v>0.0186423862959941</v>
      </c>
      <c r="K2583" t="n">
        <v>0.5532949560685733</v>
      </c>
      <c r="L2583" t="b">
        <v>0</v>
      </c>
      <c r="M2583" t="b">
        <v>0</v>
      </c>
      <c r="N2583" t="inlineStr">
        <is>
          <t>ref</t>
        </is>
      </c>
      <c r="O2583" t="n">
        <v>-100</v>
      </c>
      <c r="P2583" t="n">
        <v>0.002163</v>
      </c>
      <c r="Q2583" t="n">
        <v>-90</v>
      </c>
      <c r="R2583" t="n">
        <v>0.04675</v>
      </c>
      <c r="S2583">
        <f>IMAGE("https://mitra.stanford.edu/kundaje/oak/projects/neuro-variants/variant_position/credible/roussos_2024/variant_figures/roussos_2024.infant.GLU/rs4688683_count_position.png",4,220,900)</f>
        <v/>
      </c>
      <c r="T2583">
        <f>IMAGE("https://mitra.stanford.edu/kundaje/oak/projects/neuro-variants/variant_position/credible/roussos_2024/variant_figures/roussos_2024.infant.GLU/rs4688683_profile_position.png",4,220,900)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-0.01119945616</v>
      </c>
      <c r="G2584" t="n">
        <v>0.4993593861599656</v>
      </c>
      <c r="H2584" t="n">
        <v>0.0219772618806841</v>
      </c>
      <c r="I2584" t="n">
        <v>0.1442405231304888</v>
      </c>
      <c r="J2584" t="n">
        <v>0.8178575365418108</v>
      </c>
      <c r="K2584" t="n">
        <v>0.0071958073767733</v>
      </c>
      <c r="L2584" t="b">
        <v>0</v>
      </c>
      <c r="M2584" t="b">
        <v>0</v>
      </c>
      <c r="N2584" t="inlineStr">
        <is>
          <t>ref</t>
        </is>
      </c>
      <c r="O2584" t="n">
        <v>5</v>
      </c>
      <c r="P2584" t="n">
        <v>0.0008545</v>
      </c>
      <c r="Q2584" t="n">
        <v>5</v>
      </c>
      <c r="R2584" t="n">
        <v>0.01563</v>
      </c>
      <c r="S2584">
        <f>IMAGE("https://mitra.stanford.edu/kundaje/oak/projects/neuro-variants/variant_position/credible/roussos_2024/variant_figures/roussos_2024.infant.GLU/rs2236939_count_position.png",4,220,900)</f>
        <v/>
      </c>
      <c r="T2584">
        <f>IMAGE("https://mitra.stanford.edu/kundaje/oak/projects/neuro-variants/variant_position/credible/roussos_2024/variant_figures/roussos_2024.infant.GLU/rs2236939_profile_position.png",4,220,900)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-0.047880588</v>
      </c>
      <c r="G2585" t="n">
        <v>0.1828500613523915</v>
      </c>
      <c r="H2585" t="n">
        <v>0.008565075166584</v>
      </c>
      <c r="I2585" t="n">
        <v>0.8645644238111611</v>
      </c>
      <c r="J2585" t="n">
        <v>0.361575431557133</v>
      </c>
      <c r="K2585" t="n">
        <v>0.0536167692077734</v>
      </c>
      <c r="L2585" t="b">
        <v>0</v>
      </c>
      <c r="M2585" t="b">
        <v>0</v>
      </c>
      <c r="N2585" t="inlineStr">
        <is>
          <t>ref</t>
        </is>
      </c>
      <c r="O2585" t="n">
        <v>-45</v>
      </c>
      <c r="P2585" t="n">
        <v>0.001995</v>
      </c>
      <c r="Q2585" t="n">
        <v>-95</v>
      </c>
      <c r="R2585" t="n">
        <v>0.06036</v>
      </c>
      <c r="S2585">
        <f>IMAGE("https://mitra.stanford.edu/kundaje/oak/projects/neuro-variants/variant_position/credible/roussos_2024/variant_figures/roussos_2024.infant.GLU/rs2236940_count_position.png",4,220,900)</f>
        <v/>
      </c>
      <c r="T2585">
        <f>IMAGE("https://mitra.stanford.edu/kundaje/oak/projects/neuro-variants/variant_position/credible/roussos_2024/variant_figures/roussos_2024.infant.GLU/rs2236940_profile_position.png",4,220,900)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0.00332940498</v>
      </c>
      <c r="G2586" t="n">
        <v>0.7695608594094145</v>
      </c>
      <c r="H2586" t="n">
        <v>0.0314716273349714</v>
      </c>
      <c r="I2586" t="n">
        <v>0.04928869725674</v>
      </c>
      <c r="J2586" t="n">
        <v>0.5089309729050464</v>
      </c>
      <c r="K2586" t="n">
        <v>0.0297240677088087</v>
      </c>
      <c r="L2586" t="b">
        <v>0</v>
      </c>
      <c r="M2586" t="b">
        <v>0</v>
      </c>
      <c r="N2586" t="inlineStr">
        <is>
          <t>alt</t>
        </is>
      </c>
      <c r="O2586" t="n">
        <v>60</v>
      </c>
      <c r="P2586" t="n">
        <v>0.02539</v>
      </c>
      <c r="Q2586" t="n">
        <v>-80</v>
      </c>
      <c r="R2586" t="n">
        <v>0.0796</v>
      </c>
      <c r="S2586">
        <f>IMAGE("https://mitra.stanford.edu/kundaje/oak/projects/neuro-variants/variant_position/credible/roussos_2024/variant_figures/roussos_2024.infant.GLU/rs4688743_count_position.png",4,220,900)</f>
        <v/>
      </c>
      <c r="T2586">
        <f>IMAGE("https://mitra.stanford.edu/kundaje/oak/projects/neuro-variants/variant_position/credible/roussos_2024/variant_figures/roussos_2024.infant.GLU/rs4688743_profile_position.png",4,220,900)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0.0553285441999999</v>
      </c>
      <c r="G2587" t="n">
        <v>0.143418314509105</v>
      </c>
      <c r="H2587" t="n">
        <v>0.0148212979512406</v>
      </c>
      <c r="I2587" t="n">
        <v>0.3717428990856912</v>
      </c>
      <c r="J2587" t="n">
        <v>0.0745960007936682</v>
      </c>
      <c r="K2587" t="n">
        <v>0.2828907252405445</v>
      </c>
      <c r="L2587" t="b">
        <v>0</v>
      </c>
      <c r="M2587" t="b">
        <v>0</v>
      </c>
      <c r="N2587" t="inlineStr">
        <is>
          <t>alt</t>
        </is>
      </c>
      <c r="O2587" t="n">
        <v>100</v>
      </c>
      <c r="P2587" t="n">
        <v>0.004944</v>
      </c>
      <c r="Q2587" t="n">
        <v>100</v>
      </c>
      <c r="R2587" t="n">
        <v>0.0664</v>
      </c>
      <c r="S2587">
        <f>IMAGE("https://mitra.stanford.edu/kundaje/oak/projects/neuro-variants/variant_position/credible/roussos_2024/variant_figures/roussos_2024.infant.GLU/rs6776145_count_position.png",4,220,900)</f>
        <v/>
      </c>
      <c r="T2587">
        <f>IMAGE("https://mitra.stanford.edu/kundaje/oak/projects/neuro-variants/variant_position/credible/roussos_2024/variant_figures/roussos_2024.infant.GLU/rs6776145_profile_position.png",4,220,900)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0.0650837002</v>
      </c>
      <c r="G2588" t="n">
        <v>0.1093341180277703</v>
      </c>
      <c r="H2588" t="n">
        <v>0.0139384355873204</v>
      </c>
      <c r="I2588" t="n">
        <v>0.4229530125879234</v>
      </c>
      <c r="J2588" t="n">
        <v>0.1082023413214576</v>
      </c>
      <c r="K2588" t="n">
        <v>0.2020412225585991</v>
      </c>
      <c r="L2588" t="b">
        <v>0</v>
      </c>
      <c r="M2588" t="b">
        <v>0</v>
      </c>
      <c r="N2588" t="inlineStr">
        <is>
          <t>alt</t>
        </is>
      </c>
      <c r="O2588" t="n">
        <v>-85</v>
      </c>
      <c r="P2588" t="n">
        <v>0.01035</v>
      </c>
      <c r="Q2588" t="n">
        <v>75</v>
      </c>
      <c r="R2588" t="n">
        <v>0.06604</v>
      </c>
      <c r="S2588">
        <f>IMAGE("https://mitra.stanford.edu/kundaje/oak/projects/neuro-variants/variant_position/credible/roussos_2024/variant_figures/roussos_2024.infant.GLU/rs28365992_count_position.png",4,220,900)</f>
        <v/>
      </c>
      <c r="T2588">
        <f>IMAGE("https://mitra.stanford.edu/kundaje/oak/projects/neuro-variants/variant_position/credible/roussos_2024/variant_figures/roussos_2024.infant.GLU/rs28365992_profile_position.png",4,220,900)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-0.1871277979999999</v>
      </c>
      <c r="G2589" t="n">
        <v>0.0126633698982946</v>
      </c>
      <c r="H2589" t="n">
        <v>0.024186056355412</v>
      </c>
      <c r="I2589" t="n">
        <v>0.1124749254733676</v>
      </c>
      <c r="J2589" t="n">
        <v>0.0770222006657994</v>
      </c>
      <c r="K2589" t="n">
        <v>0.2574578041570947</v>
      </c>
      <c r="L2589" t="b">
        <v>1</v>
      </c>
      <c r="M2589" t="b">
        <v>0</v>
      </c>
      <c r="N2589" t="inlineStr">
        <is>
          <t>ref</t>
        </is>
      </c>
      <c r="O2589" t="n">
        <v>-85</v>
      </c>
      <c r="P2589" t="n">
        <v>0.1361</v>
      </c>
      <c r="Q2589" t="n">
        <v>-80</v>
      </c>
      <c r="R2589" t="n">
        <v>0.12134</v>
      </c>
      <c r="S2589">
        <f>IMAGE("https://mitra.stanford.edu/kundaje/oak/projects/neuro-variants/variant_position/credible/roussos_2024/variant_figures/roussos_2024.infant.GLU/rs12492683_count_position.png",4,220,900)</f>
        <v/>
      </c>
      <c r="T2589">
        <f>IMAGE("https://mitra.stanford.edu/kundaje/oak/projects/neuro-variants/variant_position/credible/roussos_2024/variant_figures/roussos_2024.infant.GLU/rs12492683_profile_position.png",4,220,900)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0.0621410777999999</v>
      </c>
      <c r="G2590" t="n">
        <v>0.1377453500709071</v>
      </c>
      <c r="H2590" t="n">
        <v>0.024833813322516</v>
      </c>
      <c r="I2590" t="n">
        <v>0.1077967694286997</v>
      </c>
      <c r="J2590" t="n">
        <v>0.0540840847461362</v>
      </c>
      <c r="K2590" t="n">
        <v>0.3297695404948501</v>
      </c>
      <c r="L2590" t="b">
        <v>0</v>
      </c>
      <c r="M2590" t="b">
        <v>0</v>
      </c>
      <c r="N2590" t="inlineStr">
        <is>
          <t>alt</t>
        </is>
      </c>
      <c r="O2590" t="n">
        <v>-35</v>
      </c>
      <c r="P2590" t="n">
        <v>0.002804</v>
      </c>
      <c r="Q2590" t="n">
        <v>100</v>
      </c>
      <c r="R2590" t="n">
        <v>0.1749</v>
      </c>
      <c r="S2590">
        <f>IMAGE("https://mitra.stanford.edu/kundaje/oak/projects/neuro-variants/variant_position/credible/roussos_2024/variant_figures/roussos_2024.infant.GLU/rs12054403_count_position.png",4,220,900)</f>
        <v/>
      </c>
      <c r="T2590">
        <f>IMAGE("https://mitra.stanford.edu/kundaje/oak/projects/neuro-variants/variant_position/credible/roussos_2024/variant_figures/roussos_2024.infant.GLU/rs12054403_profile_position.png",4,220,900)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0.0421854052999999</v>
      </c>
      <c r="G2591" t="n">
        <v>0.2353703539717876</v>
      </c>
      <c r="H2591" t="n">
        <v>0.0262801963469366</v>
      </c>
      <c r="I2591" t="n">
        <v>0.08750486896504139</v>
      </c>
      <c r="J2591" t="n">
        <v>0.1502028263409686</v>
      </c>
      <c r="K2591" t="n">
        <v>0.1466910942705918</v>
      </c>
      <c r="L2591" t="b">
        <v>0</v>
      </c>
      <c r="M2591" t="b">
        <v>0</v>
      </c>
      <c r="N2591" t="inlineStr">
        <is>
          <t>alt</t>
        </is>
      </c>
      <c r="O2591" t="n">
        <v>-100</v>
      </c>
      <c r="P2591" t="n">
        <v>0.003998</v>
      </c>
      <c r="Q2591" t="n">
        <v>-100</v>
      </c>
      <c r="R2591" t="n">
        <v>0.0885</v>
      </c>
      <c r="S2591">
        <f>IMAGE("https://mitra.stanford.edu/kundaje/oak/projects/neuro-variants/variant_position/credible/roussos_2024/variant_figures/roussos_2024.infant.GLU/rs2236947_count_position.png",4,220,900)</f>
        <v/>
      </c>
      <c r="T2591">
        <f>IMAGE("https://mitra.stanford.edu/kundaje/oak/projects/neuro-variants/variant_position/credible/roussos_2024/variant_figures/roussos_2024.infant.GLU/rs2236947_profile_position.png",4,220,900)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0.000120612716</v>
      </c>
      <c r="G2592" t="n">
        <v>0.7639945244755112</v>
      </c>
      <c r="H2592" t="n">
        <v>0.0333216320065924</v>
      </c>
      <c r="I2592" t="n">
        <v>0.0404925634493687</v>
      </c>
      <c r="J2592" t="n">
        <v>0.1723153067748407</v>
      </c>
      <c r="K2592" t="n">
        <v>0.1330556422283653</v>
      </c>
      <c r="L2592" t="b">
        <v>0</v>
      </c>
      <c r="M2592" t="b">
        <v>0</v>
      </c>
      <c r="N2592" t="inlineStr">
        <is>
          <t>alt</t>
        </is>
      </c>
      <c r="O2592" t="n">
        <v>50</v>
      </c>
      <c r="P2592" t="n">
        <v>0.00708</v>
      </c>
      <c r="Q2592" t="n">
        <v>-60</v>
      </c>
      <c r="R2592" t="n">
        <v>0.01941</v>
      </c>
      <c r="S2592">
        <f>IMAGE("https://mitra.stanford.edu/kundaje/oak/projects/neuro-variants/variant_position/credible/roussos_2024/variant_figures/roussos_2024.infant.GLU/rs58181992_count_position.png",4,220,900)</f>
        <v/>
      </c>
      <c r="T2592">
        <f>IMAGE("https://mitra.stanford.edu/kundaje/oak/projects/neuro-variants/variant_position/credible/roussos_2024/variant_figures/roussos_2024.infant.GLU/rs58181992_profile_position.png",4,220,900)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0.1105435794</v>
      </c>
      <c r="G2593" t="n">
        <v>0.0477736763541498</v>
      </c>
      <c r="H2593" t="n">
        <v>0.0237557622182523</v>
      </c>
      <c r="I2593" t="n">
        <v>0.1199580652673845</v>
      </c>
      <c r="J2593" t="n">
        <v>0.0569379836416146</v>
      </c>
      <c r="K2593" t="n">
        <v>0.3133589459749716</v>
      </c>
      <c r="L2593" t="b">
        <v>0</v>
      </c>
      <c r="M2593" t="b">
        <v>0</v>
      </c>
      <c r="N2593" t="inlineStr">
        <is>
          <t>alt</t>
        </is>
      </c>
      <c r="O2593" t="n">
        <v>75</v>
      </c>
      <c r="P2593" t="n">
        <v>0.002441</v>
      </c>
      <c r="Q2593" t="n">
        <v>-60</v>
      </c>
      <c r="R2593" t="n">
        <v>0.02856</v>
      </c>
      <c r="S2593">
        <f>IMAGE("https://mitra.stanford.edu/kundaje/oak/projects/neuro-variants/variant_position/credible/roussos_2024/variant_figures/roussos_2024.infant.GLU/rs6446206_count_position.png",4,220,900)</f>
        <v/>
      </c>
      <c r="T2593">
        <f>IMAGE("https://mitra.stanford.edu/kundaje/oak/projects/neuro-variants/variant_position/credible/roussos_2024/variant_figures/roussos_2024.infant.GLU/rs6446206_profile_position.png",4,220,900)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0.0035856719999999</v>
      </c>
      <c r="G2594" t="n">
        <v>0.5409006734296868</v>
      </c>
      <c r="H2594" t="n">
        <v>0.0451040845720087</v>
      </c>
      <c r="I2594" t="n">
        <v>0.012018519273048</v>
      </c>
      <c r="J2594" t="n">
        <v>0.7139928128927006</v>
      </c>
      <c r="K2594" t="n">
        <v>0.0132351198205523</v>
      </c>
      <c r="L2594" t="b">
        <v>1</v>
      </c>
      <c r="M2594" t="b">
        <v>0</v>
      </c>
      <c r="N2594" t="inlineStr">
        <is>
          <t>alt</t>
        </is>
      </c>
      <c r="O2594" t="n">
        <v>-100</v>
      </c>
      <c r="P2594" t="n">
        <v>0.01465</v>
      </c>
      <c r="Q2594" t="n">
        <v>-100</v>
      </c>
      <c r="R2594" t="n">
        <v>0.2498</v>
      </c>
      <c r="S2594">
        <f>IMAGE("https://mitra.stanford.edu/kundaje/oak/projects/neuro-variants/variant_position/credible/roussos_2024/variant_figures/roussos_2024.infant.GLU/rs2157328_count_position.png",4,220,900)</f>
        <v/>
      </c>
      <c r="T2594">
        <f>IMAGE("https://mitra.stanford.edu/kundaje/oak/projects/neuro-variants/variant_position/credible/roussos_2024/variant_figures/roussos_2024.infant.GLU/rs2157328_profile_position.png",4,220,900)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-0.0076558901999999</v>
      </c>
      <c r="G2595" t="n">
        <v>0.6563972971090714</v>
      </c>
      <c r="H2595" t="n">
        <v>0.0394945789507668</v>
      </c>
      <c r="I2595" t="n">
        <v>0.0213467095315743</v>
      </c>
      <c r="J2595" t="n">
        <v>0.0433067307480323</v>
      </c>
      <c r="K2595" t="n">
        <v>0.3841762657275888</v>
      </c>
      <c r="L2595" t="b">
        <v>0</v>
      </c>
      <c r="M2595" t="b">
        <v>0</v>
      </c>
      <c r="N2595" t="inlineStr">
        <is>
          <t>ref</t>
        </is>
      </c>
      <c r="O2595" t="n">
        <v>85</v>
      </c>
      <c r="P2595" t="n">
        <v>0.006836</v>
      </c>
      <c r="Q2595" t="n">
        <v>100</v>
      </c>
      <c r="R2595" t="n">
        <v>0.164</v>
      </c>
      <c r="S2595">
        <f>IMAGE("https://mitra.stanford.edu/kundaje/oak/projects/neuro-variants/variant_position/credible/roussos_2024/variant_figures/roussos_2024.infant.GLU/rs9311454_count_position.png",4,220,900)</f>
        <v/>
      </c>
      <c r="T2595">
        <f>IMAGE("https://mitra.stanford.edu/kundaje/oak/projects/neuro-variants/variant_position/credible/roussos_2024/variant_figures/roussos_2024.infant.GLU/rs9311454_profile_position.png",4,220,900)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0.134510519</v>
      </c>
      <c r="G2596" t="n">
        <v>0.0314704108317072</v>
      </c>
      <c r="H2596" t="n">
        <v>0.0420729244168391</v>
      </c>
      <c r="I2596" t="n">
        <v>0.0168427482884258</v>
      </c>
      <c r="J2596" t="n">
        <v>0.0509722436561651</v>
      </c>
      <c r="K2596" t="n">
        <v>0.3437301587535962</v>
      </c>
      <c r="L2596" t="b">
        <v>1</v>
      </c>
      <c r="M2596" t="b">
        <v>0</v>
      </c>
      <c r="N2596" t="inlineStr">
        <is>
          <t>alt</t>
        </is>
      </c>
      <c r="O2596" t="n">
        <v>-5</v>
      </c>
      <c r="P2596" t="n">
        <v>0.0003967</v>
      </c>
      <c r="Q2596" t="n">
        <v>-5</v>
      </c>
      <c r="R2596" t="n">
        <v>0.01184</v>
      </c>
      <c r="S2596">
        <f>IMAGE("https://mitra.stanford.edu/kundaje/oak/projects/neuro-variants/variant_position/credible/roussos_2024/variant_figures/roussos_2024.infant.GLU/rs80049775_count_position.png",4,220,900)</f>
        <v/>
      </c>
      <c r="T2596">
        <f>IMAGE("https://mitra.stanford.edu/kundaje/oak/projects/neuro-variants/variant_position/credible/roussos_2024/variant_figures/roussos_2024.infant.GLU/rs80049775_profile_position.png",4,220,900)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0.102119727</v>
      </c>
      <c r="G2597" t="n">
        <v>0.0477465000334111</v>
      </c>
      <c r="H2597" t="n">
        <v>0.0347916202355936</v>
      </c>
      <c r="I2597" t="n">
        <v>0.0348430074686178</v>
      </c>
      <c r="J2597" t="n">
        <v>0.1077514936396304</v>
      </c>
      <c r="K2597" t="n">
        <v>0.1951685250246353</v>
      </c>
      <c r="L2597" t="b">
        <v>0</v>
      </c>
      <c r="M2597" t="b">
        <v>0</v>
      </c>
      <c r="N2597" t="inlineStr">
        <is>
          <t>alt</t>
        </is>
      </c>
      <c r="O2597" t="n">
        <v>65</v>
      </c>
      <c r="P2597" t="n">
        <v>0.03387</v>
      </c>
      <c r="Q2597" t="n">
        <v>40</v>
      </c>
      <c r="R2597" t="n">
        <v>0.127</v>
      </c>
      <c r="S2597">
        <f>IMAGE("https://mitra.stanford.edu/kundaje/oak/projects/neuro-variants/variant_position/credible/roussos_2024/variant_figures/roussos_2024.infant.GLU/rs17051014_count_position.png",4,220,900)</f>
        <v/>
      </c>
      <c r="T2597">
        <f>IMAGE("https://mitra.stanford.edu/kundaje/oak/projects/neuro-variants/variant_position/credible/roussos_2024/variant_figures/roussos_2024.infant.GLU/rs17051014_profile_position.png",4,220,900)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0.0106835898</v>
      </c>
      <c r="G2598" t="n">
        <v>0.6157576806028005</v>
      </c>
      <c r="H2598" t="n">
        <v>0.0321211768113601</v>
      </c>
      <c r="I2598" t="n">
        <v>0.0458327508162448</v>
      </c>
      <c r="J2598" t="n">
        <v>0.0224453801891575</v>
      </c>
      <c r="K2598" t="n">
        <v>0.5096519313614627</v>
      </c>
      <c r="L2598" t="b">
        <v>0</v>
      </c>
      <c r="M2598" t="b">
        <v>0</v>
      </c>
      <c r="N2598" t="inlineStr">
        <is>
          <t>alt</t>
        </is>
      </c>
      <c r="O2598" t="n">
        <v>-10</v>
      </c>
      <c r="P2598" t="n">
        <v>0.00232</v>
      </c>
      <c r="Q2598" t="n">
        <v>-100</v>
      </c>
      <c r="R2598" t="n">
        <v>0.06216</v>
      </c>
      <c r="S2598">
        <f>IMAGE("https://mitra.stanford.edu/kundaje/oak/projects/neuro-variants/variant_position/credible/roussos_2024/variant_figures/roussos_2024.infant.GLU/rs2028216_count_position.png",4,220,900)</f>
        <v/>
      </c>
      <c r="T2598">
        <f>IMAGE("https://mitra.stanford.edu/kundaje/oak/projects/neuro-variants/variant_position/credible/roussos_2024/variant_figures/roussos_2024.infant.GLU/rs2028216_profile_position.png",4,220,900)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0.04849684</v>
      </c>
      <c r="G2599" t="n">
        <v>0.1870259188305282</v>
      </c>
      <c r="H2599" t="n">
        <v>0.035217612292658</v>
      </c>
      <c r="I2599" t="n">
        <v>0.0329324076125521</v>
      </c>
      <c r="J2599" t="n">
        <v>0.07364249652770111</v>
      </c>
      <c r="K2599" t="n">
        <v>0.2626469463022927</v>
      </c>
      <c r="L2599" t="b">
        <v>0</v>
      </c>
      <c r="M2599" t="b">
        <v>0</v>
      </c>
      <c r="N2599" t="inlineStr">
        <is>
          <t>alt</t>
        </is>
      </c>
      <c r="O2599" t="n">
        <v>-90</v>
      </c>
      <c r="P2599" t="n">
        <v>0.03564</v>
      </c>
      <c r="Q2599" t="n">
        <v>-60</v>
      </c>
      <c r="R2599" t="n">
        <v>0.02466</v>
      </c>
      <c r="S2599">
        <f>IMAGE("https://mitra.stanford.edu/kundaje/oak/projects/neuro-variants/variant_position/credible/roussos_2024/variant_figures/roussos_2024.infant.GLU/rs12488461_count_position.png",4,220,900)</f>
        <v/>
      </c>
      <c r="T2599">
        <f>IMAGE("https://mitra.stanford.edu/kundaje/oak/projects/neuro-variants/variant_position/credible/roussos_2024/variant_figures/roussos_2024.infant.GLU/rs12488461_profile_position.png",4,220,900)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-0.0479700953999999</v>
      </c>
      <c r="G2600" t="n">
        <v>0.1808649748874645</v>
      </c>
      <c r="H2600" t="n">
        <v>0.0112270721994766</v>
      </c>
      <c r="I2600" t="n">
        <v>0.6277419828015769</v>
      </c>
      <c r="J2600" t="n">
        <v>0.0482010185409731</v>
      </c>
      <c r="K2600" t="n">
        <v>0.3503479033225818</v>
      </c>
      <c r="L2600" t="b">
        <v>0</v>
      </c>
      <c r="M2600" t="b">
        <v>0</v>
      </c>
      <c r="N2600" t="inlineStr">
        <is>
          <t>ref</t>
        </is>
      </c>
      <c r="O2600" t="n">
        <v>100</v>
      </c>
      <c r="P2600" t="n">
        <v>0.00759</v>
      </c>
      <c r="Q2600" t="n">
        <v>-100</v>
      </c>
      <c r="R2600" t="n">
        <v>0.0343</v>
      </c>
      <c r="S2600">
        <f>IMAGE("https://mitra.stanford.edu/kundaje/oak/projects/neuro-variants/variant_position/credible/roussos_2024/variant_figures/roussos_2024.infant.GLU/rs35526119_count_position.png",4,220,900)</f>
        <v/>
      </c>
      <c r="T2600">
        <f>IMAGE("https://mitra.stanford.edu/kundaje/oak/projects/neuro-variants/variant_position/credible/roussos_2024/variant_figures/roussos_2024.infant.GLU/rs35526119_profile_position.png",4,220,900)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0.0185395335999999</v>
      </c>
      <c r="G2601" t="n">
        <v>0.4545306409573574</v>
      </c>
      <c r="H2601" t="n">
        <v>0.0084499163480694</v>
      </c>
      <c r="I2601" t="n">
        <v>0.8760340768777715</v>
      </c>
      <c r="J2601" t="n">
        <v>0.003701580722679</v>
      </c>
      <c r="K2601" t="n">
        <v>0.8070102603583552</v>
      </c>
      <c r="L2601" t="b">
        <v>0</v>
      </c>
      <c r="M2601" t="b">
        <v>0</v>
      </c>
      <c r="N2601" t="inlineStr">
        <is>
          <t>alt</t>
        </is>
      </c>
      <c r="O2601" t="n">
        <v>-100</v>
      </c>
      <c r="P2601" t="n">
        <v>0.01381</v>
      </c>
      <c r="Q2601" t="n">
        <v>60</v>
      </c>
      <c r="R2601" t="n">
        <v>0.04898</v>
      </c>
      <c r="S2601">
        <f>IMAGE("https://mitra.stanford.edu/kundaje/oak/projects/neuro-variants/variant_position/credible/roussos_2024/variant_figures/roussos_2024.infant.GLU/rs2710323_count_position.png",4,220,900)</f>
        <v/>
      </c>
      <c r="T2601">
        <f>IMAGE("https://mitra.stanford.edu/kundaje/oak/projects/neuro-variants/variant_position/credible/roussos_2024/variant_figures/roussos_2024.infant.GLU/rs2710323_profile_position.png",4,220,900)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-0.1289781384</v>
      </c>
      <c r="G2602" t="n">
        <v>0.0393123874058539</v>
      </c>
      <c r="H2602" t="n">
        <v>0.0269707880562677</v>
      </c>
      <c r="I2602" t="n">
        <v>0.0867774625814331</v>
      </c>
      <c r="J2602" t="n">
        <v>0.4119612425318018</v>
      </c>
      <c r="K2602" t="n">
        <v>0.0429482527603798</v>
      </c>
      <c r="L2602" t="b">
        <v>0</v>
      </c>
      <c r="M2602" t="b">
        <v>0</v>
      </c>
      <c r="N2602" t="inlineStr">
        <is>
          <t>ref</t>
        </is>
      </c>
      <c r="O2602" t="n">
        <v>-60</v>
      </c>
      <c r="P2602" t="n">
        <v>0.01105</v>
      </c>
      <c r="Q2602" t="n">
        <v>-60</v>
      </c>
      <c r="R2602" t="n">
        <v>0.2114</v>
      </c>
      <c r="S2602">
        <f>IMAGE("https://mitra.stanford.edu/kundaje/oak/projects/neuro-variants/variant_position/credible/roussos_2024/variant_figures/roussos_2024.infant.GLU/rs2535646_count_position.png",4,220,900)</f>
        <v/>
      </c>
      <c r="T2602">
        <f>IMAGE("https://mitra.stanford.edu/kundaje/oak/projects/neuro-variants/variant_position/credible/roussos_2024/variant_figures/roussos_2024.infant.GLU/rs2535646_profile_position.png",4,220,900)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-0.227797956</v>
      </c>
      <c r="G2603" t="n">
        <v>0.0074997130244744</v>
      </c>
      <c r="H2603" t="n">
        <v>0.0268039763796126</v>
      </c>
      <c r="I2603" t="n">
        <v>0.0843839267348387</v>
      </c>
      <c r="J2603" t="n">
        <v>0.2332128133336272</v>
      </c>
      <c r="K2603" t="n">
        <v>0.0923830085001195</v>
      </c>
      <c r="L2603" t="b">
        <v>1</v>
      </c>
      <c r="M2603" t="b">
        <v>1</v>
      </c>
      <c r="N2603" t="inlineStr">
        <is>
          <t>ref</t>
        </is>
      </c>
      <c r="O2603" t="n">
        <v>-100</v>
      </c>
      <c r="P2603" t="n">
        <v>0.01375</v>
      </c>
      <c r="Q2603" t="n">
        <v>-100</v>
      </c>
      <c r="R2603" t="n">
        <v>0.2408</v>
      </c>
      <c r="S2603">
        <f>IMAGE("https://mitra.stanford.edu/kundaje/oak/projects/neuro-variants/variant_position/credible/roussos_2024/variant_figures/roussos_2024.infant.GLU/rs62253582_count_position.png",4,220,900)</f>
        <v/>
      </c>
      <c r="T2603">
        <f>IMAGE("https://mitra.stanford.edu/kundaje/oak/projects/neuro-variants/variant_position/credible/roussos_2024/variant_figures/roussos_2024.infant.GLU/rs62253582_profile_position.png",4,220,900)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-0.236477818</v>
      </c>
      <c r="G2604" t="n">
        <v>0.0066277158613984</v>
      </c>
      <c r="H2604" t="n">
        <v>0.0286337508670707</v>
      </c>
      <c r="I2604" t="n">
        <v>0.0678202268033702</v>
      </c>
      <c r="J2604" t="n">
        <v>0.2321138032143565</v>
      </c>
      <c r="K2604" t="n">
        <v>0.09289958252676279</v>
      </c>
      <c r="L2604" t="b">
        <v>1</v>
      </c>
      <c r="M2604" t="b">
        <v>1</v>
      </c>
      <c r="N2604" t="inlineStr">
        <is>
          <t>ref</t>
        </is>
      </c>
      <c r="O2604" t="n">
        <v>-100</v>
      </c>
      <c r="P2604" t="n">
        <v>0.014336</v>
      </c>
      <c r="Q2604" t="n">
        <v>-100</v>
      </c>
      <c r="R2604" t="n">
        <v>0.2747</v>
      </c>
      <c r="S2604">
        <f>IMAGE("https://mitra.stanford.edu/kundaje/oak/projects/neuro-variants/variant_position/credible/roussos_2024/variant_figures/roussos_2024.infant.GLU/rs62253583_count_position.png",4,220,900)</f>
        <v/>
      </c>
      <c r="T2604">
        <f>IMAGE("https://mitra.stanford.edu/kundaje/oak/projects/neuro-variants/variant_position/credible/roussos_2024/variant_figures/roussos_2024.infant.GLU/rs62253583_profile_position.png",4,220,900)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0.0045288891999999</v>
      </c>
      <c r="G2605" t="n">
        <v>0.8051479646674392</v>
      </c>
      <c r="H2605" t="n">
        <v>0.0154670634870961</v>
      </c>
      <c r="I2605" t="n">
        <v>0.3356291981932733</v>
      </c>
      <c r="J2605" t="n">
        <v>0.009853612293039901</v>
      </c>
      <c r="K2605" t="n">
        <v>0.6580380121735677</v>
      </c>
      <c r="L2605" t="b">
        <v>0</v>
      </c>
      <c r="M2605" t="b">
        <v>0</v>
      </c>
      <c r="N2605" t="inlineStr">
        <is>
          <t>alt</t>
        </is>
      </c>
      <c r="O2605" t="n">
        <v>85</v>
      </c>
      <c r="P2605" t="n">
        <v>0.01938</v>
      </c>
      <c r="Q2605" t="n">
        <v>-100</v>
      </c>
      <c r="R2605" t="n">
        <v>0.167</v>
      </c>
      <c r="S2605">
        <f>IMAGE("https://mitra.stanford.edu/kundaje/oak/projects/neuro-variants/variant_position/credible/roussos_2024/variant_figures/roussos_2024.infant.GLU/rs2465101_count_position.png",4,220,900)</f>
        <v/>
      </c>
      <c r="T2605">
        <f>IMAGE("https://mitra.stanford.edu/kundaje/oak/projects/neuro-variants/variant_position/credible/roussos_2024/variant_figures/roussos_2024.infant.GLU/rs2465101_profile_position.png",4,220,900)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-0.0420148272</v>
      </c>
      <c r="G2606" t="n">
        <v>0.2160949874010236</v>
      </c>
      <c r="H2606" t="n">
        <v>0.012863996260804</v>
      </c>
      <c r="I2606" t="n">
        <v>0.4942096306460705</v>
      </c>
      <c r="J2606" t="n">
        <v>0.0126788509446857</v>
      </c>
      <c r="K2606" t="n">
        <v>0.6206114234170804</v>
      </c>
      <c r="L2606" t="b">
        <v>0</v>
      </c>
      <c r="M2606" t="b">
        <v>0</v>
      </c>
      <c r="N2606" t="inlineStr">
        <is>
          <t>ref</t>
        </is>
      </c>
      <c r="O2606" t="n">
        <v>-95</v>
      </c>
      <c r="P2606" t="n">
        <v>0.0217</v>
      </c>
      <c r="Q2606" t="n">
        <v>75</v>
      </c>
      <c r="R2606" t="n">
        <v>0.02792</v>
      </c>
      <c r="S2606">
        <f>IMAGE("https://mitra.stanford.edu/kundaje/oak/projects/neuro-variants/variant_position/credible/roussos_2024/variant_figures/roussos_2024.infant.GLU/rs6801235_count_position.png",4,220,900)</f>
        <v/>
      </c>
      <c r="T2606">
        <f>IMAGE("https://mitra.stanford.edu/kundaje/oak/projects/neuro-variants/variant_position/credible/roussos_2024/variant_figures/roussos_2024.infant.GLU/rs6801235_profile_position.png",4,220,900)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0.0263008252</v>
      </c>
      <c r="G2607" t="n">
        <v>0.3491162352672615</v>
      </c>
      <c r="H2607" t="n">
        <v>0.0115850277620033</v>
      </c>
      <c r="I2607" t="n">
        <v>0.5866354643917008</v>
      </c>
      <c r="J2607" t="n">
        <v>0.0760157851804492</v>
      </c>
      <c r="K2607" t="n">
        <v>0.2638695958447168</v>
      </c>
      <c r="L2607" t="b">
        <v>0</v>
      </c>
      <c r="M2607" t="b">
        <v>0</v>
      </c>
      <c r="N2607" t="inlineStr">
        <is>
          <t>alt</t>
        </is>
      </c>
      <c r="O2607" t="n">
        <v>-85</v>
      </c>
      <c r="P2607" t="n">
        <v>0.008545000000000001</v>
      </c>
      <c r="Q2607" t="n">
        <v>95</v>
      </c>
      <c r="R2607" t="n">
        <v>0.0571</v>
      </c>
      <c r="S2607">
        <f>IMAGE("https://mitra.stanford.edu/kundaje/oak/projects/neuro-variants/variant_position/credible/roussos_2024/variant_figures/roussos_2024.infant.GLU/rs2581816_count_position.png",4,220,900)</f>
        <v/>
      </c>
      <c r="T2607">
        <f>IMAGE("https://mitra.stanford.edu/kundaje/oak/projects/neuro-variants/variant_position/credible/roussos_2024/variant_figures/roussos_2024.infant.GLU/rs2581816_profile_position.png",4,220,900)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0.0151338581799999</v>
      </c>
      <c r="G2608" t="n">
        <v>0.5304166276287461</v>
      </c>
      <c r="H2608" t="n">
        <v>0.0062482916865838</v>
      </c>
      <c r="I2608" t="n">
        <v>0.9320741199566646</v>
      </c>
      <c r="J2608" t="n">
        <v>0.0045239092572587</v>
      </c>
      <c r="K2608" t="n">
        <v>0.7816234710292291</v>
      </c>
      <c r="L2608" t="b">
        <v>0</v>
      </c>
      <c r="M2608" t="b">
        <v>0</v>
      </c>
      <c r="N2608" t="inlineStr">
        <is>
          <t>alt</t>
        </is>
      </c>
      <c r="O2608" t="n">
        <v>35</v>
      </c>
      <c r="P2608" t="n">
        <v>0.01292</v>
      </c>
      <c r="Q2608" t="n">
        <v>-25</v>
      </c>
      <c r="R2608" t="n">
        <v>0.003967</v>
      </c>
      <c r="S2608">
        <f>IMAGE("https://mitra.stanford.edu/kundaje/oak/projects/neuro-variants/variant_position/credible/roussos_2024/variant_figures/roussos_2024.infant.GLU/rs6771610_count_position.png",4,220,900)</f>
        <v/>
      </c>
      <c r="T2608">
        <f>IMAGE("https://mitra.stanford.edu/kundaje/oak/projects/neuro-variants/variant_position/credible/roussos_2024/variant_figures/roussos_2024.infant.GLU/rs6771610_profile_position.png",4,220,900)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-0.1395251996</v>
      </c>
      <c r="G2609" t="n">
        <v>0.032652019922187</v>
      </c>
      <c r="H2609" t="n">
        <v>0.0244649614912698</v>
      </c>
      <c r="I2609" t="n">
        <v>0.1133214244218992</v>
      </c>
      <c r="J2609" t="n">
        <v>0.0824048149209638</v>
      </c>
      <c r="K2609" t="n">
        <v>0.2566393407965317</v>
      </c>
      <c r="L2609" t="b">
        <v>0</v>
      </c>
      <c r="M2609" t="b">
        <v>0</v>
      </c>
      <c r="N2609" t="inlineStr">
        <is>
          <t>ref</t>
        </is>
      </c>
      <c r="O2609" t="n">
        <v>65</v>
      </c>
      <c r="P2609" t="n">
        <v>0.00564</v>
      </c>
      <c r="Q2609" t="n">
        <v>-25</v>
      </c>
      <c r="R2609" t="n">
        <v>0.0249</v>
      </c>
      <c r="S2609">
        <f>IMAGE("https://mitra.stanford.edu/kundaje/oak/projects/neuro-variants/variant_position/credible/roussos_2024/variant_figures/roussos_2024.infant.GLU/rs2035450_count_position.png",4,220,900)</f>
        <v/>
      </c>
      <c r="T2609">
        <f>IMAGE("https://mitra.stanford.edu/kundaje/oak/projects/neuro-variants/variant_position/credible/roussos_2024/variant_figures/roussos_2024.infant.GLU/rs2035450_profile_position.png",4,220,900)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0.00853847896</v>
      </c>
      <c r="G2610" t="n">
        <v>0.6497521428803898</v>
      </c>
      <c r="H2610" t="n">
        <v>0.0118853576698711</v>
      </c>
      <c r="I2610" t="n">
        <v>0.5640185795551853</v>
      </c>
      <c r="J2610" t="n">
        <v>0.0666538063008443</v>
      </c>
      <c r="K2610" t="n">
        <v>0.291597904495863</v>
      </c>
      <c r="L2610" t="b">
        <v>0</v>
      </c>
      <c r="M2610" t="b">
        <v>0</v>
      </c>
      <c r="N2610" t="inlineStr">
        <is>
          <t>alt</t>
        </is>
      </c>
      <c r="O2610" t="n">
        <v>100</v>
      </c>
      <c r="P2610" t="n">
        <v>0.002518</v>
      </c>
      <c r="Q2610" t="n">
        <v>-90</v>
      </c>
      <c r="R2610" t="n">
        <v>0.0487</v>
      </c>
      <c r="S2610">
        <f>IMAGE("https://mitra.stanford.edu/kundaje/oak/projects/neuro-variants/variant_position/credible/roussos_2024/variant_figures/roussos_2024.infant.GLU/rs3773744_count_position.png",4,220,900)</f>
        <v/>
      </c>
      <c r="T2610">
        <f>IMAGE("https://mitra.stanford.edu/kundaje/oak/projects/neuro-variants/variant_position/credible/roussos_2024/variant_figures/roussos_2024.infant.GLU/rs3773744_profile_position.png",4,220,900)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-0.0006947367399999</v>
      </c>
      <c r="G2611" t="n">
        <v>0.6567982706638988</v>
      </c>
      <c r="H2611" t="n">
        <v>0.010258480693714</v>
      </c>
      <c r="I2611" t="n">
        <v>0.70807030765947</v>
      </c>
      <c r="J2611" t="n">
        <v>0.0077900747370973</v>
      </c>
      <c r="K2611" t="n">
        <v>0.7026740528631927</v>
      </c>
      <c r="L2611" t="b">
        <v>0</v>
      </c>
      <c r="M2611" t="b">
        <v>0</v>
      </c>
      <c r="N2611" t="inlineStr">
        <is>
          <t>ref</t>
        </is>
      </c>
      <c r="O2611" t="n">
        <v>10</v>
      </c>
      <c r="P2611" t="n">
        <v>0.0001659</v>
      </c>
      <c r="Q2611" t="n">
        <v>10</v>
      </c>
      <c r="R2611" t="n">
        <v>0.00476</v>
      </c>
      <c r="S2611">
        <f>IMAGE("https://mitra.stanford.edu/kundaje/oak/projects/neuro-variants/variant_position/credible/roussos_2024/variant_figures/roussos_2024.infant.GLU/rs12490667_count_position.png",4,220,900)</f>
        <v/>
      </c>
      <c r="T2611">
        <f>IMAGE("https://mitra.stanford.edu/kundaje/oak/projects/neuro-variants/variant_position/credible/roussos_2024/variant_figures/roussos_2024.infant.GLU/rs12490667_profile_position.png",4,220,900)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-0.00112428444</v>
      </c>
      <c r="G2612" t="n">
        <v>0.8026555762939898</v>
      </c>
      <c r="H2612" t="n">
        <v>0.0114634915858839</v>
      </c>
      <c r="I2612" t="n">
        <v>0.6072022566808151</v>
      </c>
      <c r="J2612" t="n">
        <v>0.1483211711016556</v>
      </c>
      <c r="K2612" t="n">
        <v>0.1552291917779159</v>
      </c>
      <c r="L2612" t="b">
        <v>0</v>
      </c>
      <c r="M2612" t="b">
        <v>0</v>
      </c>
      <c r="N2612" t="inlineStr">
        <is>
          <t>ref</t>
        </is>
      </c>
      <c r="O2612" t="n">
        <v>80</v>
      </c>
      <c r="P2612" t="n">
        <v>0.00992</v>
      </c>
      <c r="Q2612" t="n">
        <v>90</v>
      </c>
      <c r="R2612" t="n">
        <v>0.1175</v>
      </c>
      <c r="S2612">
        <f>IMAGE("https://mitra.stanford.edu/kundaje/oak/projects/neuro-variants/variant_position/credible/roussos_2024/variant_figures/roussos_2024.infant.GLU/rs2358740_count_position.png",4,220,900)</f>
        <v/>
      </c>
      <c r="T2612">
        <f>IMAGE("https://mitra.stanford.edu/kundaje/oak/projects/neuro-variants/variant_position/credible/roussos_2024/variant_figures/roussos_2024.infant.GLU/rs2358740_profile_position.png",4,220,900)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0.202108758</v>
      </c>
      <c r="G2613" t="n">
        <v>0.0099795342649687</v>
      </c>
      <c r="H2613" t="n">
        <v>0.0351395962446982</v>
      </c>
      <c r="I2613" t="n">
        <v>0.0334301722402764</v>
      </c>
      <c r="J2613" t="n">
        <v>0.0757104433519257</v>
      </c>
      <c r="K2613" t="n">
        <v>0.2709575458690272</v>
      </c>
      <c r="L2613" t="b">
        <v>1</v>
      </c>
      <c r="M2613" t="b">
        <v>1</v>
      </c>
      <c r="N2613" t="inlineStr">
        <is>
          <t>alt</t>
        </is>
      </c>
      <c r="O2613" t="n">
        <v>-100</v>
      </c>
      <c r="P2613" t="n">
        <v>0.0094</v>
      </c>
      <c r="Q2613" t="n">
        <v>60</v>
      </c>
      <c r="R2613" t="n">
        <v>0.05273</v>
      </c>
      <c r="S2613">
        <f>IMAGE("https://mitra.stanford.edu/kundaje/oak/projects/neuro-variants/variant_position/credible/roussos_2024/variant_figures/roussos_2024.infant.GLU/rs9799015_count_position.png",4,220,900)</f>
        <v/>
      </c>
      <c r="T2613">
        <f>IMAGE("https://mitra.stanford.edu/kundaje/oak/projects/neuro-variants/variant_position/credible/roussos_2024/variant_figures/roussos_2024.infant.GLU/rs9799015_profile_position.png",4,220,900)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0.0300710052</v>
      </c>
      <c r="G2614" t="n">
        <v>0.3075363012234955</v>
      </c>
      <c r="H2614" t="n">
        <v>0.0697045764606643</v>
      </c>
      <c r="I2614" t="n">
        <v>0.0013865558888382</v>
      </c>
      <c r="J2614" t="n">
        <v>0.1117055049714499</v>
      </c>
      <c r="K2614" t="n">
        <v>0.1871371577476405</v>
      </c>
      <c r="L2614" t="b">
        <v>1</v>
      </c>
      <c r="M2614" t="b">
        <v>1</v>
      </c>
      <c r="N2614" t="inlineStr">
        <is>
          <t>alt</t>
        </is>
      </c>
      <c r="O2614" t="n">
        <v>-35</v>
      </c>
      <c r="P2614" t="n">
        <v>0.01019</v>
      </c>
      <c r="Q2614" t="n">
        <v>25</v>
      </c>
      <c r="R2614" t="n">
        <v>0.0293</v>
      </c>
      <c r="S2614">
        <f>IMAGE("https://mitra.stanford.edu/kundaje/oak/projects/neuro-variants/variant_position/credible/roussos_2024/variant_figures/roussos_2024.infant.GLU/rs11715213_count_position.png",4,220,900)</f>
        <v/>
      </c>
      <c r="T2614">
        <f>IMAGE("https://mitra.stanford.edu/kundaje/oak/projects/neuro-variants/variant_position/credible/roussos_2024/variant_figures/roussos_2024.infant.GLU/rs11715213_profile_position.png",4,220,900)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-0.00304713836</v>
      </c>
      <c r="G2615" t="n">
        <v>0.7281796630495468</v>
      </c>
      <c r="H2615" t="n">
        <v>0.0149979378617929</v>
      </c>
      <c r="I2615" t="n">
        <v>0.3602859620963365</v>
      </c>
      <c r="J2615" t="n">
        <v>0.0184880619061266</v>
      </c>
      <c r="K2615" t="n">
        <v>0.5541875488393146</v>
      </c>
      <c r="L2615" t="b">
        <v>0</v>
      </c>
      <c r="M2615" t="b">
        <v>0</v>
      </c>
      <c r="N2615" t="inlineStr">
        <is>
          <t>ref</t>
        </is>
      </c>
      <c r="O2615" t="n">
        <v>-75</v>
      </c>
      <c r="P2615" t="n">
        <v>0.02873</v>
      </c>
      <c r="Q2615" t="n">
        <v>-70</v>
      </c>
      <c r="R2615" t="n">
        <v>0.05325</v>
      </c>
      <c r="S2615">
        <f>IMAGE("https://mitra.stanford.edu/kundaje/oak/projects/neuro-variants/variant_position/credible/roussos_2024/variant_figures/roussos_2024.infant.GLU/rs998411_count_position.png",4,220,900)</f>
        <v/>
      </c>
      <c r="T2615">
        <f>IMAGE("https://mitra.stanford.edu/kundaje/oak/projects/neuro-variants/variant_position/credible/roussos_2024/variant_figures/roussos_2024.infant.GLU/rs998411_profile_position.png",4,220,900)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-0.0121705485999999</v>
      </c>
      <c r="G2616" t="n">
        <v>0.0745749565379534</v>
      </c>
      <c r="H2616" t="n">
        <v>0.0202059870276552</v>
      </c>
      <c r="I2616" t="n">
        <v>0.1823563505850227</v>
      </c>
      <c r="J2616" t="n">
        <v>0.1459765426927401</v>
      </c>
      <c r="K2616" t="n">
        <v>0.1595799476881958</v>
      </c>
      <c r="L2616" t="b">
        <v>0</v>
      </c>
      <c r="M2616" t="b">
        <v>0</v>
      </c>
      <c r="N2616" t="inlineStr">
        <is>
          <t>ref</t>
        </is>
      </c>
      <c r="O2616" t="n">
        <v>90</v>
      </c>
      <c r="P2616" t="n">
        <v>0.1965</v>
      </c>
      <c r="Q2616" t="n">
        <v>80</v>
      </c>
      <c r="R2616" t="n">
        <v>0.1416</v>
      </c>
      <c r="S2616">
        <f>IMAGE("https://mitra.stanford.edu/kundaje/oak/projects/neuro-variants/variant_position/credible/roussos_2024/variant_figures/roussos_2024.infant.GLU/rs10049216_count_position.png",4,220,900)</f>
        <v/>
      </c>
      <c r="T2616">
        <f>IMAGE("https://mitra.stanford.edu/kundaje/oak/projects/neuro-variants/variant_position/credible/roussos_2024/variant_figures/roussos_2024.infant.GLU/rs10049216_profile_position.png",4,220,900)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-0.131856701</v>
      </c>
      <c r="G2617" t="n">
        <v>0.0282401870043859</v>
      </c>
      <c r="H2617" t="n">
        <v>0.0223802442284563</v>
      </c>
      <c r="I2617" t="n">
        <v>0.1424607998276687</v>
      </c>
      <c r="J2617" t="n">
        <v>0.0516501686545117</v>
      </c>
      <c r="K2617" t="n">
        <v>0.3353092080398941</v>
      </c>
      <c r="L2617" t="b">
        <v>0</v>
      </c>
      <c r="M2617" t="b">
        <v>0</v>
      </c>
      <c r="N2617" t="inlineStr">
        <is>
          <t>ref</t>
        </is>
      </c>
      <c r="O2617" t="n">
        <v>10</v>
      </c>
      <c r="P2617" t="n">
        <v>0.00267</v>
      </c>
      <c r="Q2617" t="n">
        <v>-100</v>
      </c>
      <c r="R2617" t="n">
        <v>0.0842</v>
      </c>
      <c r="S2617">
        <f>IMAGE("https://mitra.stanford.edu/kundaje/oak/projects/neuro-variants/variant_position/credible/roussos_2024/variant_figures/roussos_2024.infant.GLU/rs4679526_count_position.png",4,220,900)</f>
        <v/>
      </c>
      <c r="T2617">
        <f>IMAGE("https://mitra.stanford.edu/kundaje/oak/projects/neuro-variants/variant_position/credible/roussos_2024/variant_figures/roussos_2024.infant.GLU/rs4679526_profile_position.png",4,220,900)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0.0436765271999999</v>
      </c>
      <c r="G2618" t="n">
        <v>0.1991464082172069</v>
      </c>
      <c r="H2618" t="n">
        <v>0.0388401079489869</v>
      </c>
      <c r="I2618" t="n">
        <v>0.0227957586915362</v>
      </c>
      <c r="J2618" t="n">
        <v>0.0048953901100111</v>
      </c>
      <c r="K2618" t="n">
        <v>0.7520752564874374</v>
      </c>
      <c r="L2618" t="b">
        <v>0</v>
      </c>
      <c r="M2618" t="b">
        <v>0</v>
      </c>
      <c r="N2618" t="inlineStr">
        <is>
          <t>alt</t>
        </is>
      </c>
      <c r="O2618" t="n">
        <v>-45</v>
      </c>
      <c r="P2618" t="n">
        <v>0.03284</v>
      </c>
      <c r="Q2618" t="n">
        <v>-100</v>
      </c>
      <c r="R2618" t="n">
        <v>0.1326</v>
      </c>
      <c r="S2618">
        <f>IMAGE("https://mitra.stanford.edu/kundaje/oak/projects/neuro-variants/variant_position/credible/roussos_2024/variant_figures/roussos_2024.infant.GLU/rs1882900_count_position.png",4,220,900)</f>
        <v/>
      </c>
      <c r="T2618">
        <f>IMAGE("https://mitra.stanford.edu/kundaje/oak/projects/neuro-variants/variant_position/credible/roussos_2024/variant_figures/roussos_2024.infant.GLU/rs1882900_profile_position.png",4,220,900)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0.144956578</v>
      </c>
      <c r="G2619" t="n">
        <v>0.0222937814545117</v>
      </c>
      <c r="H2619" t="n">
        <v>0.018936679974772</v>
      </c>
      <c r="I2619" t="n">
        <v>0.2137952417289142</v>
      </c>
      <c r="J2619" t="n">
        <v>0.0862794594237085</v>
      </c>
      <c r="K2619" t="n">
        <v>0.2346156240318749</v>
      </c>
      <c r="L2619" t="b">
        <v>0</v>
      </c>
      <c r="M2619" t="b">
        <v>0</v>
      </c>
      <c r="N2619" t="inlineStr">
        <is>
          <t>alt</t>
        </is>
      </c>
      <c r="O2619" t="n">
        <v>100</v>
      </c>
      <c r="P2619" t="n">
        <v>0.007473</v>
      </c>
      <c r="Q2619" t="n">
        <v>55</v>
      </c>
      <c r="R2619" t="n">
        <v>0.1683</v>
      </c>
      <c r="S2619">
        <f>IMAGE("https://mitra.stanford.edu/kundaje/oak/projects/neuro-variants/variant_position/credible/roussos_2024/variant_figures/roussos_2024.infant.GLU/rs6787076_count_position.png",4,220,900)</f>
        <v/>
      </c>
      <c r="T2619">
        <f>IMAGE("https://mitra.stanford.edu/kundaje/oak/projects/neuro-variants/variant_position/credible/roussos_2024/variant_figures/roussos_2024.infant.GLU/rs6787076_profile_position.png",4,220,900)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-0.00373631056</v>
      </c>
      <c r="G2620" t="n">
        <v>0.824009091721039</v>
      </c>
      <c r="H2620" t="n">
        <v>0.0093721529624515</v>
      </c>
      <c r="I2620" t="n">
        <v>0.7951914484485455</v>
      </c>
      <c r="J2620" t="n">
        <v>0.0575387464450274</v>
      </c>
      <c r="K2620" t="n">
        <v>0.3101480468629851</v>
      </c>
      <c r="L2620" t="b">
        <v>0</v>
      </c>
      <c r="M2620" t="b">
        <v>0</v>
      </c>
      <c r="N2620" t="inlineStr">
        <is>
          <t>ref</t>
        </is>
      </c>
      <c r="O2620" t="n">
        <v>100</v>
      </c>
      <c r="P2620" t="n">
        <v>0.2551</v>
      </c>
      <c r="Q2620" t="n">
        <v>100</v>
      </c>
      <c r="R2620" t="n">
        <v>0.0654</v>
      </c>
      <c r="S2620">
        <f>IMAGE("https://mitra.stanford.edu/kundaje/oak/projects/neuro-variants/variant_position/credible/roussos_2024/variant_figures/roussos_2024.infant.GLU/rs9847855_count_position.png",4,220,900)</f>
        <v/>
      </c>
      <c r="T2620">
        <f>IMAGE("https://mitra.stanford.edu/kundaje/oak/projects/neuro-variants/variant_position/credible/roussos_2024/variant_figures/roussos_2024.infant.GLU/rs9847855_profile_position.png",4,220,900)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0.1692212389999999</v>
      </c>
      <c r="G2621" t="n">
        <v>0.0163011464326702</v>
      </c>
      <c r="H2621" t="n">
        <v>0.0303655128391537</v>
      </c>
      <c r="I2621" t="n">
        <v>0.0553329087002876</v>
      </c>
      <c r="J2621" t="n">
        <v>0.1074395379086839</v>
      </c>
      <c r="K2621" t="n">
        <v>0.1934461416746257</v>
      </c>
      <c r="L2621" t="b">
        <v>1</v>
      </c>
      <c r="M2621" t="b">
        <v>0</v>
      </c>
      <c r="N2621" t="inlineStr">
        <is>
          <t>alt</t>
        </is>
      </c>
      <c r="O2621" t="n">
        <v>55</v>
      </c>
      <c r="P2621" t="n">
        <v>0.0227</v>
      </c>
      <c r="Q2621" t="n">
        <v>15</v>
      </c>
      <c r="R2621" t="n">
        <v>0.0249</v>
      </c>
      <c r="S2621">
        <f>IMAGE("https://mitra.stanford.edu/kundaje/oak/projects/neuro-variants/variant_position/credible/roussos_2024/variant_figures/roussos_2024.infant.GLU/rs9848065_count_position.png",4,220,900)</f>
        <v/>
      </c>
      <c r="T2621">
        <f>IMAGE("https://mitra.stanford.edu/kundaje/oak/projects/neuro-variants/variant_position/credible/roussos_2024/variant_figures/roussos_2024.infant.GLU/rs9848065_profile_position.png",4,220,900)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0.0075039104</v>
      </c>
      <c r="G2622" t="n">
        <v>0.696099955199647</v>
      </c>
      <c r="H2622" t="n">
        <v>0.0372126060836462</v>
      </c>
      <c r="I2622" t="n">
        <v>0.0269065381176567</v>
      </c>
      <c r="J2622" t="n">
        <v>0.0046760290129852</v>
      </c>
      <c r="K2622" t="n">
        <v>0.77218481462809</v>
      </c>
      <c r="L2622" t="b">
        <v>0</v>
      </c>
      <c r="M2622" t="b">
        <v>0</v>
      </c>
      <c r="N2622" t="inlineStr">
        <is>
          <t>alt</t>
        </is>
      </c>
      <c r="O2622" t="n">
        <v>-100</v>
      </c>
      <c r="P2622" t="n">
        <v>0.007934999999999999</v>
      </c>
      <c r="Q2622" t="n">
        <v>90</v>
      </c>
      <c r="R2622" t="n">
        <v>0.03023</v>
      </c>
      <c r="S2622">
        <f>IMAGE("https://mitra.stanford.edu/kundaje/oak/projects/neuro-variants/variant_position/credible/roussos_2024/variant_figures/roussos_2024.infant.GLU/rs2687176_count_position.png",4,220,900)</f>
        <v/>
      </c>
      <c r="T2622">
        <f>IMAGE("https://mitra.stanford.edu/kundaje/oak/projects/neuro-variants/variant_position/credible/roussos_2024/variant_figures/roussos_2024.infant.GLU/rs2687176_profile_position.png",4,220,900)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0.0593089218</v>
      </c>
      <c r="G2623" t="n">
        <v>0.1306183171095551</v>
      </c>
      <c r="H2623" t="n">
        <v>0.0088957135458132</v>
      </c>
      <c r="I2623" t="n">
        <v>0.8051740512298191</v>
      </c>
      <c r="J2623" t="n">
        <v>0.0594369364403976</v>
      </c>
      <c r="K2623" t="n">
        <v>0.3132027840180637</v>
      </c>
      <c r="L2623" t="b">
        <v>0</v>
      </c>
      <c r="M2623" t="b">
        <v>0</v>
      </c>
      <c r="N2623" t="inlineStr">
        <is>
          <t>alt</t>
        </is>
      </c>
      <c r="O2623" t="n">
        <v>100</v>
      </c>
      <c r="P2623" t="n">
        <v>0.013466</v>
      </c>
      <c r="Q2623" t="n">
        <v>-65</v>
      </c>
      <c r="R2623" t="n">
        <v>0.0376</v>
      </c>
      <c r="S2623">
        <f>IMAGE("https://mitra.stanford.edu/kundaje/oak/projects/neuro-variants/variant_position/credible/roussos_2024/variant_figures/roussos_2024.infant.GLU/rs68056303_count_position.png",4,220,900)</f>
        <v/>
      </c>
      <c r="T2623">
        <f>IMAGE("https://mitra.stanford.edu/kundaje/oak/projects/neuro-variants/variant_position/credible/roussos_2024/variant_figures/roussos_2024.infant.GLU/rs68056303_profile_position.png",4,220,900)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-0.0292735718</v>
      </c>
      <c r="G2624" t="n">
        <v>0.3255771010442257</v>
      </c>
      <c r="H2624" t="n">
        <v>0.012706043800337</v>
      </c>
      <c r="I2624" t="n">
        <v>0.507306836045998</v>
      </c>
      <c r="J2624" t="n">
        <v>0.0331808461385832</v>
      </c>
      <c r="K2624" t="n">
        <v>0.4443001483453608</v>
      </c>
      <c r="L2624" t="b">
        <v>0</v>
      </c>
      <c r="M2624" t="b">
        <v>0</v>
      </c>
      <c r="N2624" t="inlineStr">
        <is>
          <t>ref</t>
        </is>
      </c>
      <c r="O2624" t="n">
        <v>-5</v>
      </c>
      <c r="P2624" t="n">
        <v>0.000725</v>
      </c>
      <c r="Q2624" t="n">
        <v>100</v>
      </c>
      <c r="R2624" t="n">
        <v>0.1309</v>
      </c>
      <c r="S2624">
        <f>IMAGE("https://mitra.stanford.edu/kundaje/oak/projects/neuro-variants/variant_position/credible/roussos_2024/variant_figures/roussos_2024.infant.GLU/rs9862806_count_position.png",4,220,900)</f>
        <v/>
      </c>
      <c r="T2624">
        <f>IMAGE("https://mitra.stanford.edu/kundaje/oak/projects/neuro-variants/variant_position/credible/roussos_2024/variant_figures/roussos_2024.infant.GLU/rs9862806_profile_position.png",4,220,900)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-0.1341147369999999</v>
      </c>
      <c r="G2625" t="n">
        <v>0.0266753038904445</v>
      </c>
      <c r="H2625" t="n">
        <v>0.0223081346989464</v>
      </c>
      <c r="I2625" t="n">
        <v>0.1395924574485945</v>
      </c>
      <c r="J2625" t="n">
        <v>0.0335126435767983</v>
      </c>
      <c r="K2625" t="n">
        <v>0.4425501066716076</v>
      </c>
      <c r="L2625" t="b">
        <v>0</v>
      </c>
      <c r="M2625" t="b">
        <v>0</v>
      </c>
      <c r="N2625" t="inlineStr">
        <is>
          <t>ref</t>
        </is>
      </c>
      <c r="O2625" t="n">
        <v>-5</v>
      </c>
      <c r="P2625" t="n">
        <v>0.0005608</v>
      </c>
      <c r="Q2625" t="n">
        <v>90</v>
      </c>
      <c r="R2625" t="n">
        <v>0.1421</v>
      </c>
      <c r="S2625">
        <f>IMAGE("https://mitra.stanford.edu/kundaje/oak/projects/neuro-variants/variant_position/credible/roussos_2024/variant_figures/roussos_2024.infant.GLU/rs9862809_count_position.png",4,220,900)</f>
        <v/>
      </c>
      <c r="T2625">
        <f>IMAGE("https://mitra.stanford.edu/kundaje/oak/projects/neuro-variants/variant_position/credible/roussos_2024/variant_figures/roussos_2024.infant.GLU/rs9862809_profile_position.png",4,220,900)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0.0559426796</v>
      </c>
      <c r="G2626" t="n">
        <v>0.1072337093745862</v>
      </c>
      <c r="H2626" t="n">
        <v>0.0144876415837015</v>
      </c>
      <c r="I2626" t="n">
        <v>0.3954664205296597</v>
      </c>
      <c r="J2626" t="n">
        <v>0.0364569324720562</v>
      </c>
      <c r="K2626" t="n">
        <v>0.4136953863753894</v>
      </c>
      <c r="L2626" t="b">
        <v>0</v>
      </c>
      <c r="M2626" t="b">
        <v>0</v>
      </c>
      <c r="N2626" t="inlineStr">
        <is>
          <t>alt</t>
        </is>
      </c>
      <c r="O2626" t="n">
        <v>-50</v>
      </c>
      <c r="P2626" t="n">
        <v>0.002625</v>
      </c>
      <c r="Q2626" t="n">
        <v>55</v>
      </c>
      <c r="R2626" t="n">
        <v>0.04443</v>
      </c>
      <c r="S2626">
        <f>IMAGE("https://mitra.stanford.edu/kundaje/oak/projects/neuro-variants/variant_position/credible/roussos_2024/variant_figures/roussos_2024.infant.GLU/rs2687189_count_position.png",4,220,900)</f>
        <v/>
      </c>
      <c r="T2626">
        <f>IMAGE("https://mitra.stanford.edu/kundaje/oak/projects/neuro-variants/variant_position/credible/roussos_2024/variant_figures/roussos_2024.infant.GLU/rs2687189_profile_position.png",4,220,900)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0.02759448406</v>
      </c>
      <c r="G2627" t="n">
        <v>0.3455970480480166</v>
      </c>
      <c r="H2627" t="n">
        <v>0.0345599505103269</v>
      </c>
      <c r="I2627" t="n">
        <v>0.0354893827371645</v>
      </c>
      <c r="J2627" t="n">
        <v>0.0059095218148547</v>
      </c>
      <c r="K2627" t="n">
        <v>0.7383386220998713</v>
      </c>
      <c r="L2627" t="b">
        <v>0</v>
      </c>
      <c r="M2627" t="b">
        <v>0</v>
      </c>
      <c r="N2627" t="inlineStr">
        <is>
          <t>alt</t>
        </is>
      </c>
      <c r="O2627" t="n">
        <v>80</v>
      </c>
      <c r="P2627" t="n">
        <v>0.00792</v>
      </c>
      <c r="Q2627" t="n">
        <v>75</v>
      </c>
      <c r="R2627" t="n">
        <v>0.04077</v>
      </c>
      <c r="S2627">
        <f>IMAGE("https://mitra.stanford.edu/kundaje/oak/projects/neuro-variants/variant_position/credible/roussos_2024/variant_figures/roussos_2024.infant.GLU/rs77635360_count_position.png",4,220,900)</f>
        <v/>
      </c>
      <c r="T2627">
        <f>IMAGE("https://mitra.stanford.edu/kundaje/oak/projects/neuro-variants/variant_position/credible/roussos_2024/variant_figures/roussos_2024.infant.GLU/rs77635360_profile_position.png",4,220,900)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-0.0406745298</v>
      </c>
      <c r="G2628" t="n">
        <v>0.2439184018052699</v>
      </c>
      <c r="H2628" t="n">
        <v>0.0240070712066072</v>
      </c>
      <c r="I2628" t="n">
        <v>0.114000963224529</v>
      </c>
      <c r="J2628" t="n">
        <v>0.053758901210344</v>
      </c>
      <c r="K2628" t="n">
        <v>0.3294110012259434</v>
      </c>
      <c r="L2628" t="b">
        <v>0</v>
      </c>
      <c r="M2628" t="b">
        <v>0</v>
      </c>
      <c r="N2628" t="inlineStr">
        <is>
          <t>ref</t>
        </is>
      </c>
      <c r="O2628" t="n">
        <v>100</v>
      </c>
      <c r="P2628" t="n">
        <v>0.013</v>
      </c>
      <c r="Q2628" t="n">
        <v>20</v>
      </c>
      <c r="R2628" t="n">
        <v>0.01645</v>
      </c>
      <c r="S2628">
        <f>IMAGE("https://mitra.stanford.edu/kundaje/oak/projects/neuro-variants/variant_position/credible/roussos_2024/variant_figures/roussos_2024.infant.GLU/rs12629110_count_position.png",4,220,900)</f>
        <v/>
      </c>
      <c r="T2628">
        <f>IMAGE("https://mitra.stanford.edu/kundaje/oak/projects/neuro-variants/variant_position/credible/roussos_2024/variant_figures/roussos_2024.infant.GLU/rs12629110_profile_position.png",4,220,900)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-0.0131906849999999</v>
      </c>
      <c r="G2629" t="n">
        <v>0.5886930826723334</v>
      </c>
      <c r="H2629" t="n">
        <v>0.0605313732457222</v>
      </c>
      <c r="I2629" t="n">
        <v>0.0029791504029195</v>
      </c>
      <c r="J2629" t="n">
        <v>0.0059668423025198</v>
      </c>
      <c r="K2629" t="n">
        <v>0.7389049002873483</v>
      </c>
      <c r="L2629" t="b">
        <v>0</v>
      </c>
      <c r="M2629" t="b">
        <v>0</v>
      </c>
      <c r="N2629" t="inlineStr">
        <is>
          <t>ref</t>
        </is>
      </c>
      <c r="O2629" t="n">
        <v>-45</v>
      </c>
      <c r="P2629" t="n">
        <v>0.00354</v>
      </c>
      <c r="Q2629" t="n">
        <v>15</v>
      </c>
      <c r="R2629" t="n">
        <v>0.02795</v>
      </c>
      <c r="S2629">
        <f>IMAGE("https://mitra.stanford.edu/kundaje/oak/projects/neuro-variants/variant_position/credible/roussos_2024/variant_figures/roussos_2024.infant.GLU/rs9818182_count_position.png",4,220,900)</f>
        <v/>
      </c>
      <c r="T2629">
        <f>IMAGE("https://mitra.stanford.edu/kundaje/oak/projects/neuro-variants/variant_position/credible/roussos_2024/variant_figures/roussos_2024.infant.GLU/rs9818182_profile_position.png",4,220,900)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0.03612589944</v>
      </c>
      <c r="G2630" t="n">
        <v>0.2555937353523249</v>
      </c>
      <c r="H2630" t="n">
        <v>0.0190294161392917</v>
      </c>
      <c r="I2630" t="n">
        <v>0.207615643787858</v>
      </c>
      <c r="J2630" t="n">
        <v>0.2357779051566391</v>
      </c>
      <c r="K2630" t="n">
        <v>0.090945868383897</v>
      </c>
      <c r="L2630" t="b">
        <v>0</v>
      </c>
      <c r="M2630" t="b">
        <v>0</v>
      </c>
      <c r="N2630" t="inlineStr">
        <is>
          <t>alt</t>
        </is>
      </c>
      <c r="O2630" t="n">
        <v>55</v>
      </c>
      <c r="P2630" t="n">
        <v>0.008149999999999999</v>
      </c>
      <c r="Q2630" t="n">
        <v>75</v>
      </c>
      <c r="R2630" t="n">
        <v>0.06494</v>
      </c>
      <c r="S2630">
        <f>IMAGE("https://mitra.stanford.edu/kundaje/oak/projects/neuro-variants/variant_position/credible/roussos_2024/variant_figures/roussos_2024.infant.GLU/rs9828307_count_position.png",4,220,900)</f>
        <v/>
      </c>
      <c r="T2630">
        <f>IMAGE("https://mitra.stanford.edu/kundaje/oak/projects/neuro-variants/variant_position/credible/roussos_2024/variant_figures/roussos_2024.infant.GLU/rs9828307_profile_position.png",4,220,900)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-0.020869057</v>
      </c>
      <c r="G2631" t="n">
        <v>0.4404203039051242</v>
      </c>
      <c r="H2631" t="n">
        <v>0.008753582570880301</v>
      </c>
      <c r="I2631" t="n">
        <v>0.8519172717010371</v>
      </c>
      <c r="J2631" t="n">
        <v>0.5870973786900063</v>
      </c>
      <c r="K2631" t="n">
        <v>0.0224035357973533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0.09625</v>
      </c>
      <c r="Q2631" t="n">
        <v>100</v>
      </c>
      <c r="R2631" t="n">
        <v>0.3804</v>
      </c>
      <c r="S2631">
        <f>IMAGE("https://mitra.stanford.edu/kundaje/oak/projects/neuro-variants/variant_position/credible/roussos_2024/variant_figures/roussos_2024.infant.GLU/rs606506_count_position.png",4,220,900)</f>
        <v/>
      </c>
      <c r="T2631">
        <f>IMAGE("https://mitra.stanford.edu/kundaje/oak/projects/neuro-variants/variant_position/credible/roussos_2024/variant_figures/roussos_2024.infant.GLU/rs606506_profile_position.png",4,220,900)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0.0308375673999999</v>
      </c>
      <c r="G2632" t="n">
        <v>0.2937668055204425</v>
      </c>
      <c r="H2632" t="n">
        <v>0.0513147378780314</v>
      </c>
      <c r="I2632" t="n">
        <v>0.0067696807038265</v>
      </c>
      <c r="J2632" t="n">
        <v>0.009748892171344101</v>
      </c>
      <c r="K2632" t="n">
        <v>0.6815517169797297</v>
      </c>
      <c r="L2632" t="b">
        <v>0</v>
      </c>
      <c r="M2632" t="b">
        <v>0</v>
      </c>
      <c r="N2632" t="inlineStr">
        <is>
          <t>alt</t>
        </is>
      </c>
      <c r="O2632" t="n">
        <v>70</v>
      </c>
      <c r="P2632" t="n">
        <v>0.008606000000000001</v>
      </c>
      <c r="Q2632" t="n">
        <v>-55</v>
      </c>
      <c r="R2632" t="n">
        <v>0.11926</v>
      </c>
      <c r="S2632">
        <f>IMAGE("https://mitra.stanford.edu/kundaje/oak/projects/neuro-variants/variant_position/credible/roussos_2024/variant_figures/roussos_2024.infant.GLU/rs640732_count_position.png",4,220,900)</f>
        <v/>
      </c>
      <c r="T2632">
        <f>IMAGE("https://mitra.stanford.edu/kundaje/oak/projects/neuro-variants/variant_position/credible/roussos_2024/variant_figures/roussos_2024.infant.GLU/rs640732_profile_position.png",4,220,900)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-0.0271613323999999</v>
      </c>
      <c r="G2633" t="n">
        <v>0.208738018714812</v>
      </c>
      <c r="H2633" t="n">
        <v>0.0171291242333276</v>
      </c>
      <c r="I2633" t="n">
        <v>0.2683282225848397</v>
      </c>
      <c r="J2633" t="n">
        <v>0.0535362331621067</v>
      </c>
      <c r="K2633" t="n">
        <v>0.339082354608196</v>
      </c>
      <c r="L2633" t="b">
        <v>0</v>
      </c>
      <c r="M2633" t="b">
        <v>0</v>
      </c>
      <c r="N2633" t="inlineStr">
        <is>
          <t>ref</t>
        </is>
      </c>
      <c r="O2633" t="n">
        <v>-5</v>
      </c>
      <c r="P2633" t="n">
        <v>0.002434</v>
      </c>
      <c r="Q2633" t="n">
        <v>-5</v>
      </c>
      <c r="R2633" t="n">
        <v>0.00464</v>
      </c>
      <c r="S2633">
        <f>IMAGE("https://mitra.stanford.edu/kundaje/oak/projects/neuro-variants/variant_position/credible/roussos_2024/variant_figures/roussos_2024.infant.GLU/rs626136_count_position.png",4,220,900)</f>
        <v/>
      </c>
      <c r="T2633">
        <f>IMAGE("https://mitra.stanford.edu/kundaje/oak/projects/neuro-variants/variant_position/credible/roussos_2024/variant_figures/roussos_2024.infant.GLU/rs626136_profile_position.png",4,220,900)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-0.0768774479999999</v>
      </c>
      <c r="G2634" t="n">
        <v>0.08446634900700339</v>
      </c>
      <c r="H2634" t="n">
        <v>0.0123857893079774</v>
      </c>
      <c r="I2634" t="n">
        <v>0.5302972715292282</v>
      </c>
      <c r="J2634" t="n">
        <v>0.0319605811415595</v>
      </c>
      <c r="K2634" t="n">
        <v>0.4470600704899953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0.00274</v>
      </c>
      <c r="Q2634" t="n">
        <v>10</v>
      </c>
      <c r="R2634" t="n">
        <v>0.012726</v>
      </c>
      <c r="S2634">
        <f>IMAGE("https://mitra.stanford.edu/kundaje/oak/projects/neuro-variants/variant_position/credible/roussos_2024/variant_figures/roussos_2024.infant.GLU/rs623843_count_position.png",4,220,900)</f>
        <v/>
      </c>
      <c r="T2634">
        <f>IMAGE("https://mitra.stanford.edu/kundaje/oak/projects/neuro-variants/variant_position/credible/roussos_2024/variant_figures/roussos_2024.infant.GLU/rs623843_profile_position.png",4,220,900)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0.0282572751999999</v>
      </c>
      <c r="G2635" t="n">
        <v>0.3267250022219946</v>
      </c>
      <c r="H2635" t="n">
        <v>0.011090299661124</v>
      </c>
      <c r="I2635" t="n">
        <v>0.6357015546722753</v>
      </c>
      <c r="J2635" t="n">
        <v>0.01243744350625</v>
      </c>
      <c r="K2635" t="n">
        <v>0.6272022553475605</v>
      </c>
      <c r="L2635" t="b">
        <v>0</v>
      </c>
      <c r="M2635" t="b">
        <v>0</v>
      </c>
      <c r="N2635" t="inlineStr">
        <is>
          <t>alt</t>
        </is>
      </c>
      <c r="O2635" t="n">
        <v>80</v>
      </c>
      <c r="P2635" t="n">
        <v>0.02225</v>
      </c>
      <c r="Q2635" t="n">
        <v>90</v>
      </c>
      <c r="R2635" t="n">
        <v>0.09760000000000001</v>
      </c>
      <c r="S2635">
        <f>IMAGE("https://mitra.stanford.edu/kundaje/oak/projects/neuro-variants/variant_position/credible/roussos_2024/variant_figures/roussos_2024.infant.GLU/rs623808_count_position.png",4,220,900)</f>
        <v/>
      </c>
      <c r="T2635">
        <f>IMAGE("https://mitra.stanford.edu/kundaje/oak/projects/neuro-variants/variant_position/credible/roussos_2024/variant_figures/roussos_2024.infant.GLU/rs623808_profile_position.png",4,220,900)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0.0546940828</v>
      </c>
      <c r="G2636" t="n">
        <v>0.1431181771584678</v>
      </c>
      <c r="H2636" t="n">
        <v>0.0136517822604236</v>
      </c>
      <c r="I2636" t="n">
        <v>0.4360848350683015</v>
      </c>
      <c r="J2636" t="n">
        <v>0.0016678057276394</v>
      </c>
      <c r="K2636" t="n">
        <v>0.8657693647384701</v>
      </c>
      <c r="L2636" t="b">
        <v>0</v>
      </c>
      <c r="M2636" t="b">
        <v>0</v>
      </c>
      <c r="N2636" t="inlineStr">
        <is>
          <t>alt</t>
        </is>
      </c>
      <c r="O2636" t="n">
        <v>-100</v>
      </c>
      <c r="P2636" t="n">
        <v>0.02444</v>
      </c>
      <c r="Q2636" t="n">
        <v>-40</v>
      </c>
      <c r="R2636" t="n">
        <v>0.06116</v>
      </c>
      <c r="S2636">
        <f>IMAGE("https://mitra.stanford.edu/kundaje/oak/projects/neuro-variants/variant_position/credible/roussos_2024/variant_figures/roussos_2024.infant.GLU/rs9863323_count_position.png",4,220,900)</f>
        <v/>
      </c>
      <c r="T2636">
        <f>IMAGE("https://mitra.stanford.edu/kundaje/oak/projects/neuro-variants/variant_position/credible/roussos_2024/variant_figures/roussos_2024.infant.GLU/rs9863323_profile_position.png",4,220,900)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0.1105356752</v>
      </c>
      <c r="G2637" t="n">
        <v>0.0440231615099375</v>
      </c>
      <c r="H2637" t="n">
        <v>0.0243209752510777</v>
      </c>
      <c r="I2637" t="n">
        <v>0.110360413351658</v>
      </c>
      <c r="J2637" t="n">
        <v>0.0390914702705085</v>
      </c>
      <c r="K2637" t="n">
        <v>0.3923980687348611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0.1238</v>
      </c>
      <c r="Q2637" t="n">
        <v>-75</v>
      </c>
      <c r="R2637" t="n">
        <v>0.03247</v>
      </c>
      <c r="S2637">
        <f>IMAGE("https://mitra.stanford.edu/kundaje/oak/projects/neuro-variants/variant_position/credible/roussos_2024/variant_figures/roussos_2024.infant.GLU/rs6787306_count_position.png",4,220,900)</f>
        <v/>
      </c>
      <c r="T2637">
        <f>IMAGE("https://mitra.stanford.edu/kundaje/oak/projects/neuro-variants/variant_position/credible/roussos_2024/variant_figures/roussos_2024.infant.GLU/rs6787306_profile_position.png",4,220,900)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0.0058530858799999</v>
      </c>
      <c r="G2638" t="n">
        <v>0.6547308179843609</v>
      </c>
      <c r="H2638" t="n">
        <v>0.0454392947154818</v>
      </c>
      <c r="I2638" t="n">
        <v>0.0119247865245859</v>
      </c>
      <c r="J2638" t="n">
        <v>0.6101810004629732</v>
      </c>
      <c r="K2638" t="n">
        <v>0.0205815845273548</v>
      </c>
      <c r="L2638" t="b">
        <v>1</v>
      </c>
      <c r="M2638" t="b">
        <v>0</v>
      </c>
      <c r="N2638" t="inlineStr">
        <is>
          <t>alt</t>
        </is>
      </c>
      <c r="O2638" t="n">
        <v>100</v>
      </c>
      <c r="P2638" t="n">
        <v>0.01733</v>
      </c>
      <c r="Q2638" t="n">
        <v>100</v>
      </c>
      <c r="R2638" t="n">
        <v>0.0718</v>
      </c>
      <c r="S2638">
        <f>IMAGE("https://mitra.stanford.edu/kundaje/oak/projects/neuro-variants/variant_position/credible/roussos_2024/variant_figures/roussos_2024.infant.GLU/rs6766287_count_position.png",4,220,900)</f>
        <v/>
      </c>
      <c r="T2638">
        <f>IMAGE("https://mitra.stanford.edu/kundaje/oak/projects/neuro-variants/variant_position/credible/roussos_2024/variant_figures/roussos_2024.infant.GLU/rs6766287_profile_position.png",4,220,900)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0.0550515233999999</v>
      </c>
      <c r="G2639" t="n">
        <v>0.1423868862934242</v>
      </c>
      <c r="H2639" t="n">
        <v>0.0112795196397567</v>
      </c>
      <c r="I2639" t="n">
        <v>0.6218472433648258</v>
      </c>
      <c r="J2639" t="n">
        <v>0.0110088405829052</v>
      </c>
      <c r="K2639" t="n">
        <v>0.6694334326070623</v>
      </c>
      <c r="L2639" t="b">
        <v>0</v>
      </c>
      <c r="M2639" t="b">
        <v>0</v>
      </c>
      <c r="N2639" t="inlineStr">
        <is>
          <t>alt</t>
        </is>
      </c>
      <c r="O2639" t="n">
        <v>-70</v>
      </c>
      <c r="P2639" t="n">
        <v>0.00775</v>
      </c>
      <c r="Q2639" t="n">
        <v>-30</v>
      </c>
      <c r="R2639" t="n">
        <v>0.0242</v>
      </c>
      <c r="S2639">
        <f>IMAGE("https://mitra.stanford.edu/kundaje/oak/projects/neuro-variants/variant_position/credible/roussos_2024/variant_figures/roussos_2024.infant.GLU/rs11130874_count_position.png",4,220,900)</f>
        <v/>
      </c>
      <c r="T2639">
        <f>IMAGE("https://mitra.stanford.edu/kundaje/oak/projects/neuro-variants/variant_position/credible/roussos_2024/variant_figures/roussos_2024.infant.GLU/rs11130874_profile_position.png",4,220,900)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0.01574231152</v>
      </c>
      <c r="G2640" t="n">
        <v>0.5148840084335607</v>
      </c>
      <c r="H2640" t="n">
        <v>0.0227468413937853</v>
      </c>
      <c r="I2640" t="n">
        <v>0.1315444598619752</v>
      </c>
      <c r="J2640" t="n">
        <v>0.0056207147423884</v>
      </c>
      <c r="K2640" t="n">
        <v>0.7735909026666438</v>
      </c>
      <c r="L2640" t="b">
        <v>0</v>
      </c>
      <c r="M2640" t="b">
        <v>0</v>
      </c>
      <c r="N2640" t="inlineStr">
        <is>
          <t>alt</t>
        </is>
      </c>
      <c r="O2640" t="n">
        <v>100</v>
      </c>
      <c r="P2640" t="n">
        <v>0.03363</v>
      </c>
      <c r="Q2640" t="n">
        <v>100</v>
      </c>
      <c r="R2640" t="n">
        <v>0.1531</v>
      </c>
      <c r="S2640">
        <f>IMAGE("https://mitra.stanford.edu/kundaje/oak/projects/neuro-variants/variant_position/credible/roussos_2024/variant_figures/roussos_2024.infant.GLU/rs11715438_count_position.png",4,220,900)</f>
        <v/>
      </c>
      <c r="T2640">
        <f>IMAGE("https://mitra.stanford.edu/kundaje/oak/projects/neuro-variants/variant_position/credible/roussos_2024/variant_figures/roussos_2024.infant.GLU/rs11715438_profile_position.png",4,220,900)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0.0995701948</v>
      </c>
      <c r="G2641" t="n">
        <v>0.0591188620371794</v>
      </c>
      <c r="H2641" t="n">
        <v>0.0124637194856301</v>
      </c>
      <c r="I2641" t="n">
        <v>0.5207204615567324</v>
      </c>
      <c r="J2641" t="n">
        <v>0.0390110011243633</v>
      </c>
      <c r="K2641" t="n">
        <v>0.3979158288586655</v>
      </c>
      <c r="L2641" t="b">
        <v>0</v>
      </c>
      <c r="M2641" t="b">
        <v>0</v>
      </c>
      <c r="N2641" t="inlineStr">
        <is>
          <t>alt</t>
        </is>
      </c>
      <c r="O2641" t="n">
        <v>100</v>
      </c>
      <c r="P2641" t="n">
        <v>0.07227</v>
      </c>
      <c r="Q2641" t="n">
        <v>-75</v>
      </c>
      <c r="R2641" t="n">
        <v>0.0776</v>
      </c>
      <c r="S2641">
        <f>IMAGE("https://mitra.stanford.edu/kundaje/oak/projects/neuro-variants/variant_position/credible/roussos_2024/variant_figures/roussos_2024.infant.GLU/rs1859404_count_position.png",4,220,900)</f>
        <v/>
      </c>
      <c r="T2641">
        <f>IMAGE("https://mitra.stanford.edu/kundaje/oak/projects/neuro-variants/variant_position/credible/roussos_2024/variant_figures/roussos_2024.infant.GLU/rs1859404_profile_position.png",4,220,900)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-0.406618576</v>
      </c>
      <c r="G2642" t="n">
        <v>0.0010809430519164</v>
      </c>
      <c r="H2642" t="n">
        <v>0.0478950843117674</v>
      </c>
      <c r="I2642" t="n">
        <v>0.0094754446381128</v>
      </c>
      <c r="J2642" t="n">
        <v>0.0815185519962961</v>
      </c>
      <c r="K2642" t="n">
        <v>0.2481575268694845</v>
      </c>
      <c r="L2642" t="b">
        <v>1</v>
      </c>
      <c r="M2642" t="b">
        <v>1</v>
      </c>
      <c r="N2642" t="inlineStr">
        <is>
          <t>ref</t>
        </is>
      </c>
      <c r="O2642" t="n">
        <v>20</v>
      </c>
      <c r="P2642" t="n">
        <v>0.006996</v>
      </c>
      <c r="Q2642" t="n">
        <v>-35</v>
      </c>
      <c r="R2642" t="n">
        <v>0.03027</v>
      </c>
      <c r="S2642">
        <f>IMAGE("https://mitra.stanford.edu/kundaje/oak/projects/neuro-variants/variant_position/credible/roussos_2024/variant_figures/roussos_2024.infant.GLU/rs7646226_count_position.png",4,220,900)</f>
        <v/>
      </c>
      <c r="T2642">
        <f>IMAGE("https://mitra.stanford.edu/kundaje/oak/projects/neuro-variants/variant_position/credible/roussos_2024/variant_figures/roussos_2024.infant.GLU/rs7646226_profile_position.png",4,220,900)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0.0322375126</v>
      </c>
      <c r="G2643" t="n">
        <v>0.2969529361439396</v>
      </c>
      <c r="H2643" t="n">
        <v>0.0233171883189279</v>
      </c>
      <c r="I2643" t="n">
        <v>0.122692608771801</v>
      </c>
      <c r="J2643" t="n">
        <v>0.0117462907030577</v>
      </c>
      <c r="K2643" t="n">
        <v>0.6359962276288347</v>
      </c>
      <c r="L2643" t="b">
        <v>0</v>
      </c>
      <c r="M2643" t="b">
        <v>0</v>
      </c>
      <c r="N2643" t="inlineStr">
        <is>
          <t>alt</t>
        </is>
      </c>
      <c r="O2643" t="n">
        <v>-90</v>
      </c>
      <c r="P2643" t="n">
        <v>0.003845</v>
      </c>
      <c r="Q2643" t="n">
        <v>100</v>
      </c>
      <c r="R2643" t="n">
        <v>0.0163</v>
      </c>
      <c r="S2643">
        <f>IMAGE("https://mitra.stanford.edu/kundaje/oak/projects/neuro-variants/variant_position/credible/roussos_2024/variant_figures/roussos_2024.infant.GLU/rs35831310_count_position.png",4,220,900)</f>
        <v/>
      </c>
      <c r="T2643">
        <f>IMAGE("https://mitra.stanford.edu/kundaje/oak/projects/neuro-variants/variant_position/credible/roussos_2024/variant_figures/roussos_2024.infant.GLU/rs35831310_profile_position.png",4,220,900)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0.013898161</v>
      </c>
      <c r="G2644" t="n">
        <v>0.4260512345615565</v>
      </c>
      <c r="H2644" t="n">
        <v>0.009036736490839701</v>
      </c>
      <c r="I2644" t="n">
        <v>0.8203957468831427</v>
      </c>
      <c r="J2644" t="n">
        <v>0.0380949756387926</v>
      </c>
      <c r="K2644" t="n">
        <v>0.4031208455596519</v>
      </c>
      <c r="L2644" t="b">
        <v>0</v>
      </c>
      <c r="M2644" t="b">
        <v>0</v>
      </c>
      <c r="N2644" t="inlineStr">
        <is>
          <t>alt</t>
        </is>
      </c>
      <c r="O2644" t="n">
        <v>-15</v>
      </c>
      <c r="P2644" t="n">
        <v>0.002075</v>
      </c>
      <c r="Q2644" t="n">
        <v>15</v>
      </c>
      <c r="R2644" t="n">
        <v>0.0158</v>
      </c>
      <c r="S2644">
        <f>IMAGE("https://mitra.stanford.edu/kundaje/oak/projects/neuro-variants/variant_position/credible/roussos_2024/variant_figures/roussos_2024.infant.GLU/rs113467722_count_position.png",4,220,900)</f>
        <v/>
      </c>
      <c r="T2644">
        <f>IMAGE("https://mitra.stanford.edu/kundaje/oak/projects/neuro-variants/variant_position/credible/roussos_2024/variant_figures/roussos_2024.infant.GLU/rs113467722_profile_position.png",4,220,900)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-0.1025533418</v>
      </c>
      <c r="G2645" t="n">
        <v>0.048882406229905</v>
      </c>
      <c r="H2645" t="n">
        <v>0.0154613988287526</v>
      </c>
      <c r="I2645" t="n">
        <v>0.3380453844948018</v>
      </c>
      <c r="J2645" t="n">
        <v>0.0309188915099538</v>
      </c>
      <c r="K2645" t="n">
        <v>0.4452613882816904</v>
      </c>
      <c r="L2645" t="b">
        <v>0</v>
      </c>
      <c r="M2645" t="b">
        <v>0</v>
      </c>
      <c r="N2645" t="inlineStr">
        <is>
          <t>ref</t>
        </is>
      </c>
      <c r="O2645" t="n">
        <v>-100</v>
      </c>
      <c r="P2645" t="n">
        <v>0.007423</v>
      </c>
      <c r="Q2645" t="n">
        <v>-25</v>
      </c>
      <c r="R2645" t="n">
        <v>0.02576</v>
      </c>
      <c r="S2645">
        <f>IMAGE("https://mitra.stanford.edu/kundaje/oak/projects/neuro-variants/variant_position/credible/roussos_2024/variant_figures/roussos_2024.infant.GLU/rs2366683_count_position.png",4,220,900)</f>
        <v/>
      </c>
      <c r="T2645">
        <f>IMAGE("https://mitra.stanford.edu/kundaje/oak/projects/neuro-variants/variant_position/credible/roussos_2024/variant_figures/roussos_2024.infant.GLU/rs2366683_profile_position.png",4,220,900)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0.122618046</v>
      </c>
      <c r="G2646" t="n">
        <v>0.0359317765010951</v>
      </c>
      <c r="H2646" t="n">
        <v>0.0280664258520736</v>
      </c>
      <c r="I2646" t="n">
        <v>0.07244854418644329</v>
      </c>
      <c r="J2646" t="n">
        <v>0.1803578121210785</v>
      </c>
      <c r="K2646" t="n">
        <v>0.133470769577516</v>
      </c>
      <c r="L2646" t="b">
        <v>0</v>
      </c>
      <c r="M2646" t="b">
        <v>0</v>
      </c>
      <c r="N2646" t="inlineStr">
        <is>
          <t>alt</t>
        </is>
      </c>
      <c r="O2646" t="n">
        <v>85</v>
      </c>
      <c r="P2646" t="n">
        <v>0.01633</v>
      </c>
      <c r="Q2646" t="n">
        <v>100</v>
      </c>
      <c r="R2646" t="n">
        <v>0.2017</v>
      </c>
      <c r="S2646">
        <f>IMAGE("https://mitra.stanford.edu/kundaje/oak/projects/neuro-variants/variant_position/credible/roussos_2024/variant_figures/roussos_2024.infant.GLU/rs13081552_count_position.png",4,220,900)</f>
        <v/>
      </c>
      <c r="T2646">
        <f>IMAGE("https://mitra.stanford.edu/kundaje/oak/projects/neuro-variants/variant_position/credible/roussos_2024/variant_figures/roussos_2024.infant.GLU/rs13081552_profile_position.png",4,220,900)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-0.0477927232</v>
      </c>
      <c r="G2647" t="n">
        <v>0.1324349790772652</v>
      </c>
      <c r="H2647" t="n">
        <v>0.0187071076690096</v>
      </c>
      <c r="I2647" t="n">
        <v>0.217743942372966</v>
      </c>
      <c r="J2647" t="n">
        <v>0.6075795321766353</v>
      </c>
      <c r="K2647" t="n">
        <v>0.0204657340936689</v>
      </c>
      <c r="L2647" t="b">
        <v>0</v>
      </c>
      <c r="M2647" t="b">
        <v>0</v>
      </c>
      <c r="N2647" t="inlineStr">
        <is>
          <t>ref</t>
        </is>
      </c>
      <c r="O2647" t="n">
        <v>75</v>
      </c>
      <c r="P2647" t="n">
        <v>0.0313</v>
      </c>
      <c r="Q2647" t="n">
        <v>75</v>
      </c>
      <c r="R2647" t="n">
        <v>0.291</v>
      </c>
      <c r="S2647">
        <f>IMAGE("https://mitra.stanford.edu/kundaje/oak/projects/neuro-variants/variant_position/credible/roussos_2024/variant_figures/roussos_2024.infant.GLU/rs1452082_count_position.png",4,220,900)</f>
        <v/>
      </c>
      <c r="T2647">
        <f>IMAGE("https://mitra.stanford.edu/kundaje/oak/projects/neuro-variants/variant_position/credible/roussos_2024/variant_figures/roussos_2024.infant.GLU/rs1452082_profile_position.png",4,220,900)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-0.0503855112</v>
      </c>
      <c r="G2648" t="n">
        <v>0.1805373421322175</v>
      </c>
      <c r="H2648" t="n">
        <v>0.0135311942282834</v>
      </c>
      <c r="I2648" t="n">
        <v>0.4452803955149346</v>
      </c>
      <c r="J2648" t="n">
        <v>0.0205317577548005</v>
      </c>
      <c r="K2648" t="n">
        <v>0.5519930824731433</v>
      </c>
      <c r="L2648" t="b">
        <v>0</v>
      </c>
      <c r="M2648" t="b">
        <v>0</v>
      </c>
      <c r="N2648" t="inlineStr">
        <is>
          <t>ref</t>
        </is>
      </c>
      <c r="O2648" t="n">
        <v>100</v>
      </c>
      <c r="P2648" t="n">
        <v>0.01855</v>
      </c>
      <c r="Q2648" t="n">
        <v>100</v>
      </c>
      <c r="R2648" t="n">
        <v>0.1902</v>
      </c>
      <c r="S2648">
        <f>IMAGE("https://mitra.stanford.edu/kundaje/oak/projects/neuro-variants/variant_position/credible/roussos_2024/variant_figures/roussos_2024.infant.GLU/rs6786550_count_position.png",4,220,900)</f>
        <v/>
      </c>
      <c r="T2648">
        <f>IMAGE("https://mitra.stanford.edu/kundaje/oak/projects/neuro-variants/variant_position/credible/roussos_2024/variant_figures/roussos_2024.infant.GLU/rs6786550_profile_position.png",4,220,900)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-0.0166994766</v>
      </c>
      <c r="G2649" t="n">
        <v>0.4987413370496431</v>
      </c>
      <c r="H2649" t="n">
        <v>0.03971390714287</v>
      </c>
      <c r="I2649" t="n">
        <v>0.0209873021829778</v>
      </c>
      <c r="J2649" t="n">
        <v>0.1359862430829603</v>
      </c>
      <c r="K2649" t="n">
        <v>0.1633252583406489</v>
      </c>
      <c r="L2649" t="b">
        <v>0</v>
      </c>
      <c r="M2649" t="b">
        <v>0</v>
      </c>
      <c r="N2649" t="inlineStr">
        <is>
          <t>ref</t>
        </is>
      </c>
      <c r="O2649" t="n">
        <v>65</v>
      </c>
      <c r="P2649" t="n">
        <v>0.004063</v>
      </c>
      <c r="Q2649" t="n">
        <v>-60</v>
      </c>
      <c r="R2649" t="n">
        <v>0.0963</v>
      </c>
      <c r="S2649">
        <f>IMAGE("https://mitra.stanford.edu/kundaje/oak/projects/neuro-variants/variant_position/credible/roussos_2024/variant_figures/roussos_2024.infant.GLU/rs72886387_count_position.png",4,220,900)</f>
        <v/>
      </c>
      <c r="T2649">
        <f>IMAGE("https://mitra.stanford.edu/kundaje/oak/projects/neuro-variants/variant_position/credible/roussos_2024/variant_figures/roussos_2024.infant.GLU/rs72886387_profile_position.png",4,220,900)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-0.04755105432</v>
      </c>
      <c r="G2650" t="n">
        <v>0.1957161892237127</v>
      </c>
      <c r="H2650" t="n">
        <v>0.0253149211709889</v>
      </c>
      <c r="I2650" t="n">
        <v>0.0964906183882874</v>
      </c>
      <c r="J2650" t="n">
        <v>0.09582001366873159</v>
      </c>
      <c r="K2650" t="n">
        <v>0.2235351866288591</v>
      </c>
      <c r="L2650" t="b">
        <v>0</v>
      </c>
      <c r="M2650" t="b">
        <v>0</v>
      </c>
      <c r="N2650" t="inlineStr">
        <is>
          <t>ref</t>
        </is>
      </c>
      <c r="O2650" t="n">
        <v>75</v>
      </c>
      <c r="P2650" t="n">
        <v>0.05615</v>
      </c>
      <c r="Q2650" t="n">
        <v>-10</v>
      </c>
      <c r="R2650" t="n">
        <v>0.0762</v>
      </c>
      <c r="S2650">
        <f>IMAGE("https://mitra.stanford.edu/kundaje/oak/projects/neuro-variants/variant_position/credible/roussos_2024/variant_figures/roussos_2024.infant.GLU/rs3774702_count_position.png",4,220,900)</f>
        <v/>
      </c>
      <c r="T2650">
        <f>IMAGE("https://mitra.stanford.edu/kundaje/oak/projects/neuro-variants/variant_position/credible/roussos_2024/variant_figures/roussos_2024.infant.GLU/rs3774702_profile_position.png",4,220,900)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-0.0898845938</v>
      </c>
      <c r="G2651" t="n">
        <v>0.061067382394164</v>
      </c>
      <c r="H2651" t="n">
        <v>0.0125626622498926</v>
      </c>
      <c r="I2651" t="n">
        <v>0.5160619468560095</v>
      </c>
      <c r="J2651" t="n">
        <v>0.2201955510483035</v>
      </c>
      <c r="K2651" t="n">
        <v>0.0972253542107186</v>
      </c>
      <c r="L2651" t="b">
        <v>0</v>
      </c>
      <c r="M2651" t="b">
        <v>0</v>
      </c>
      <c r="N2651" t="inlineStr">
        <is>
          <t>ref</t>
        </is>
      </c>
      <c r="O2651" t="n">
        <v>-30</v>
      </c>
      <c r="P2651" t="n">
        <v>0.02286</v>
      </c>
      <c r="Q2651" t="n">
        <v>-85</v>
      </c>
      <c r="R2651" t="n">
        <v>0.09279999999999999</v>
      </c>
      <c r="S2651">
        <f>IMAGE("https://mitra.stanford.edu/kundaje/oak/projects/neuro-variants/variant_position/credible/roussos_2024/variant_figures/roussos_2024.infant.GLU/rs3774720_count_position.png",4,220,900)</f>
        <v/>
      </c>
      <c r="T2651">
        <f>IMAGE("https://mitra.stanford.edu/kundaje/oak/projects/neuro-variants/variant_position/credible/roussos_2024/variant_figures/roussos_2024.infant.GLU/rs3774720_profile_position.png",4,220,900)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-0.0443666816</v>
      </c>
      <c r="G2652" t="n">
        <v>0.1992323062658881</v>
      </c>
      <c r="H2652" t="n">
        <v>0.0105290085067371</v>
      </c>
      <c r="I2652" t="n">
        <v>0.6831732282248856</v>
      </c>
      <c r="J2652" t="n">
        <v>0.148973742807381</v>
      </c>
      <c r="K2652" t="n">
        <v>0.1443811565068829</v>
      </c>
      <c r="L2652" t="b">
        <v>0</v>
      </c>
      <c r="M2652" t="b">
        <v>0</v>
      </c>
      <c r="N2652" t="inlineStr">
        <is>
          <t>ref</t>
        </is>
      </c>
      <c r="O2652" t="n">
        <v>90</v>
      </c>
      <c r="P2652" t="n">
        <v>0.009900000000000001</v>
      </c>
      <c r="Q2652" t="n">
        <v>65</v>
      </c>
      <c r="R2652" t="n">
        <v>0.1448</v>
      </c>
      <c r="S2652">
        <f>IMAGE("https://mitra.stanford.edu/kundaje/oak/projects/neuro-variants/variant_position/credible/roussos_2024/variant_figures/roussos_2024.infant.GLU/rs35838_count_position.png",4,220,900)</f>
        <v/>
      </c>
      <c r="T2652">
        <f>IMAGE("https://mitra.stanford.edu/kundaje/oak/projects/neuro-variants/variant_position/credible/roussos_2024/variant_figures/roussos_2024.infant.GLU/rs35838_profile_position.png",4,220,900)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-0.0420329808</v>
      </c>
      <c r="G2653" t="n">
        <v>0.2208177813045965</v>
      </c>
      <c r="H2653" t="n">
        <v>0.0085994555027819</v>
      </c>
      <c r="I2653" t="n">
        <v>0.8656488343015968</v>
      </c>
      <c r="J2653" t="n">
        <v>0.030260808218876</v>
      </c>
      <c r="K2653" t="n">
        <v>0.4592262223314045</v>
      </c>
      <c r="L2653" t="b">
        <v>0</v>
      </c>
      <c r="M2653" t="b">
        <v>0</v>
      </c>
      <c r="N2653" t="inlineStr">
        <is>
          <t>ref</t>
        </is>
      </c>
      <c r="O2653" t="n">
        <v>0</v>
      </c>
      <c r="P2653" t="n">
        <v>0</v>
      </c>
      <c r="Q2653" t="n">
        <v>100</v>
      </c>
      <c r="R2653" t="n">
        <v>0.04874</v>
      </c>
      <c r="S2653">
        <f>IMAGE("https://mitra.stanford.edu/kundaje/oak/projects/neuro-variants/variant_position/credible/roussos_2024/variant_figures/roussos_2024.infant.GLU/rs704375_count_position.png",4,220,900)</f>
        <v/>
      </c>
      <c r="T2653">
        <f>IMAGE("https://mitra.stanford.edu/kundaje/oak/projects/neuro-variants/variant_position/credible/roussos_2024/variant_figures/roussos_2024.infant.GLU/rs704375_profile_position.png",4,220,900)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-0.047760962</v>
      </c>
      <c r="G2654" t="n">
        <v>0.1823780295042446</v>
      </c>
      <c r="H2654" t="n">
        <v>0.012689127367034</v>
      </c>
      <c r="I2654" t="n">
        <v>0.505755195702652</v>
      </c>
      <c r="J2654" t="n">
        <v>0.0971780682995656</v>
      </c>
      <c r="K2654" t="n">
        <v>0.2154441524619222</v>
      </c>
      <c r="L2654" t="b">
        <v>0</v>
      </c>
      <c r="M2654" t="b">
        <v>0</v>
      </c>
      <c r="N2654" t="inlineStr">
        <is>
          <t>ref</t>
        </is>
      </c>
      <c r="O2654" t="n">
        <v>10</v>
      </c>
      <c r="P2654" t="n">
        <v>0.003326</v>
      </c>
      <c r="Q2654" t="n">
        <v>75</v>
      </c>
      <c r="R2654" t="n">
        <v>0.01544</v>
      </c>
      <c r="S2654">
        <f>IMAGE("https://mitra.stanford.edu/kundaje/oak/projects/neuro-variants/variant_position/credible/roussos_2024/variant_figures/roussos_2024.infant.GLU/rs26936_count_position.png",4,220,900)</f>
        <v/>
      </c>
      <c r="T2654">
        <f>IMAGE("https://mitra.stanford.edu/kundaje/oak/projects/neuro-variants/variant_position/credible/roussos_2024/variant_figures/roussos_2024.infant.GLU/rs26936_profile_position.png",4,220,900)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-0.00729724062</v>
      </c>
      <c r="G2655" t="n">
        <v>0.5976588413024604</v>
      </c>
      <c r="H2655" t="n">
        <v>0.0475964748281455</v>
      </c>
      <c r="I2655" t="n">
        <v>0.009516312720160999</v>
      </c>
      <c r="J2655" t="n">
        <v>0.0326109482131439</v>
      </c>
      <c r="K2655" t="n">
        <v>0.4387097335538385</v>
      </c>
      <c r="L2655" t="b">
        <v>1</v>
      </c>
      <c r="M2655" t="b">
        <v>0</v>
      </c>
      <c r="N2655" t="inlineStr">
        <is>
          <t>ref</t>
        </is>
      </c>
      <c r="O2655" t="n">
        <v>0</v>
      </c>
      <c r="P2655" t="n">
        <v>0</v>
      </c>
      <c r="Q2655" t="n">
        <v>-95</v>
      </c>
      <c r="R2655" t="n">
        <v>0.083</v>
      </c>
      <c r="S2655">
        <f>IMAGE("https://mitra.stanford.edu/kundaje/oak/projects/neuro-variants/variant_position/credible/roussos_2024/variant_figures/roussos_2024.infant.GLU/rs35483362_count_position.png",4,220,900)</f>
        <v/>
      </c>
      <c r="T2655">
        <f>IMAGE("https://mitra.stanford.edu/kundaje/oak/projects/neuro-variants/variant_position/credible/roussos_2024/variant_figures/roussos_2024.infant.GLU/rs35483362_profile_position.png",4,220,900)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0.0451845981999999</v>
      </c>
      <c r="G2656" t="n">
        <v>0.1943034147724475</v>
      </c>
      <c r="H2656" t="n">
        <v>0.0108888097576922</v>
      </c>
      <c r="I2656" t="n">
        <v>0.6460375623911553</v>
      </c>
      <c r="J2656" t="n">
        <v>0.0356191714984897</v>
      </c>
      <c r="K2656" t="n">
        <v>0.4190910880491015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0.07166</v>
      </c>
      <c r="Q2656" t="n">
        <v>-100</v>
      </c>
      <c r="R2656" t="n">
        <v>0.00415</v>
      </c>
      <c r="S2656">
        <f>IMAGE("https://mitra.stanford.edu/kundaje/oak/projects/neuro-variants/variant_position/credible/roussos_2024/variant_figures/roussos_2024.infant.GLU/rs6805189_count_position.png",4,220,900)</f>
        <v/>
      </c>
      <c r="T2656">
        <f>IMAGE("https://mitra.stanford.edu/kundaje/oak/projects/neuro-variants/variant_position/credible/roussos_2024/variant_figures/roussos_2024.infant.GLU/rs6805189_profile_position.png",4,220,900)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0.01781841794</v>
      </c>
      <c r="G2657" t="n">
        <v>0.501988915217504</v>
      </c>
      <c r="H2657" t="n">
        <v>0.0162506931373233</v>
      </c>
      <c r="I2657" t="n">
        <v>0.3061573481301486</v>
      </c>
      <c r="J2657" t="n">
        <v>0.1195760488546925</v>
      </c>
      <c r="K2657" t="n">
        <v>0.1804467082238217</v>
      </c>
      <c r="L2657" t="b">
        <v>0</v>
      </c>
      <c r="M2657" t="b">
        <v>0</v>
      </c>
      <c r="N2657" t="inlineStr">
        <is>
          <t>alt</t>
        </is>
      </c>
      <c r="O2657" t="n">
        <v>-95</v>
      </c>
      <c r="P2657" t="n">
        <v>0.01666</v>
      </c>
      <c r="Q2657" t="n">
        <v>-100</v>
      </c>
      <c r="R2657" t="n">
        <v>0.02835</v>
      </c>
      <c r="S2657">
        <f>IMAGE("https://mitra.stanford.edu/kundaje/oak/projects/neuro-variants/variant_position/credible/roussos_2024/variant_figures/roussos_2024.infant.GLU/rs6803008_count_position.png",4,220,900)</f>
        <v/>
      </c>
      <c r="T2657">
        <f>IMAGE("https://mitra.stanford.edu/kundaje/oak/projects/neuro-variants/variant_position/credible/roussos_2024/variant_figures/roussos_2024.infant.GLU/rs6803008_profile_position.png",4,220,900)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-0.1830096839999999</v>
      </c>
      <c r="G2658" t="n">
        <v>0.0130437389682473</v>
      </c>
      <c r="H2658" t="n">
        <v>0.0329551288376114</v>
      </c>
      <c r="I2658" t="n">
        <v>0.0420114164392446</v>
      </c>
      <c r="J2658" t="n">
        <v>0.1378050662492559</v>
      </c>
      <c r="K2658" t="n">
        <v>0.1595253786262757</v>
      </c>
      <c r="L2658" t="b">
        <v>1</v>
      </c>
      <c r="M2658" t="b">
        <v>0</v>
      </c>
      <c r="N2658" t="inlineStr">
        <is>
          <t>ref</t>
        </is>
      </c>
      <c r="O2658" t="n">
        <v>100</v>
      </c>
      <c r="P2658" t="n">
        <v>0.01291</v>
      </c>
      <c r="Q2658" t="n">
        <v>-5</v>
      </c>
      <c r="R2658" t="n">
        <v>0.004395</v>
      </c>
      <c r="S2658">
        <f>IMAGE("https://mitra.stanford.edu/kundaje/oak/projects/neuro-variants/variant_position/credible/roussos_2024/variant_figures/roussos_2024.infant.GLU/rs17008723_count_position.png",4,220,900)</f>
        <v/>
      </c>
      <c r="T2658">
        <f>IMAGE("https://mitra.stanford.edu/kundaje/oak/projects/neuro-variants/variant_position/credible/roussos_2024/variant_figures/roussos_2024.infant.GLU/rs17008723_profile_position.png",4,220,900)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-0.0546501184</v>
      </c>
      <c r="G2659" t="n">
        <v>0.1528836514502049</v>
      </c>
      <c r="H2659" t="n">
        <v>0.009460859986518799</v>
      </c>
      <c r="I2659" t="n">
        <v>0.7841252135545144</v>
      </c>
      <c r="J2659" t="n">
        <v>0.0876165700302034</v>
      </c>
      <c r="K2659" t="n">
        <v>0.2379052867772438</v>
      </c>
      <c r="L2659" t="b">
        <v>0</v>
      </c>
      <c r="M2659" t="b">
        <v>0</v>
      </c>
      <c r="N2659" t="inlineStr">
        <is>
          <t>ref</t>
        </is>
      </c>
      <c r="O2659" t="n">
        <v>-60</v>
      </c>
      <c r="P2659" t="n">
        <v>0.0467</v>
      </c>
      <c r="Q2659" t="n">
        <v>100</v>
      </c>
      <c r="R2659" t="n">
        <v>0.0321</v>
      </c>
      <c r="S2659">
        <f>IMAGE("https://mitra.stanford.edu/kundaje/oak/projects/neuro-variants/variant_position/credible/roussos_2024/variant_figures/roussos_2024.infant.GLU/rs1437046_count_position.png",4,220,900)</f>
        <v/>
      </c>
      <c r="T2659">
        <f>IMAGE("https://mitra.stanford.edu/kundaje/oak/projects/neuro-variants/variant_position/credible/roussos_2024/variant_figures/roussos_2024.infant.GLU/rs1437046_profile_position.png",4,220,900)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-0.0286129348</v>
      </c>
      <c r="G2660" t="n">
        <v>0.3388646063674637</v>
      </c>
      <c r="H2660" t="n">
        <v>0.033225480399638</v>
      </c>
      <c r="I2660" t="n">
        <v>0.0408390279228986</v>
      </c>
      <c r="J2660" t="n">
        <v>0.0236094270155867</v>
      </c>
      <c r="K2660" t="n">
        <v>0.5090512114061025</v>
      </c>
      <c r="L2660" t="b">
        <v>0</v>
      </c>
      <c r="M2660" t="b">
        <v>0</v>
      </c>
      <c r="N2660" t="inlineStr">
        <is>
          <t>ref</t>
        </is>
      </c>
      <c r="O2660" t="n">
        <v>-20</v>
      </c>
      <c r="P2660" t="n">
        <v>0.000555</v>
      </c>
      <c r="Q2660" t="n">
        <v>100</v>
      </c>
      <c r="R2660" t="n">
        <v>0.08875</v>
      </c>
      <c r="S2660">
        <f>IMAGE("https://mitra.stanford.edu/kundaje/oak/projects/neuro-variants/variant_position/credible/roussos_2024/variant_figures/roussos_2024.infant.GLU/rs678585_count_position.png",4,220,900)</f>
        <v/>
      </c>
      <c r="T2660">
        <f>IMAGE("https://mitra.stanford.edu/kundaje/oak/projects/neuro-variants/variant_position/credible/roussos_2024/variant_figures/roussos_2024.infant.GLU/rs678585_profile_position.png",4,220,900)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-0.020056353</v>
      </c>
      <c r="G2661" t="n">
        <v>0.461562658527303</v>
      </c>
      <c r="H2661" t="n">
        <v>0.0254171443532241</v>
      </c>
      <c r="I2661" t="n">
        <v>0.09802722940200061</v>
      </c>
      <c r="J2661" t="n">
        <v>0.0760168874975197</v>
      </c>
      <c r="K2661" t="n">
        <v>0.2709667641737519</v>
      </c>
      <c r="L2661" t="b">
        <v>0</v>
      </c>
      <c r="M2661" t="b">
        <v>0</v>
      </c>
      <c r="N2661" t="inlineStr">
        <is>
          <t>ref</t>
        </is>
      </c>
      <c r="O2661" t="n">
        <v>-90</v>
      </c>
      <c r="P2661" t="n">
        <v>0.00638</v>
      </c>
      <c r="Q2661" t="n">
        <v>95</v>
      </c>
      <c r="R2661" t="n">
        <v>0.147</v>
      </c>
      <c r="S2661">
        <f>IMAGE("https://mitra.stanford.edu/kundaje/oak/projects/neuro-variants/variant_position/credible/roussos_2024/variant_figures/roussos_2024.infant.GLU/rs500298_count_position.png",4,220,900)</f>
        <v/>
      </c>
      <c r="T2661">
        <f>IMAGE("https://mitra.stanford.edu/kundaje/oak/projects/neuro-variants/variant_position/credible/roussos_2024/variant_figures/roussos_2024.infant.GLU/rs500298_profile_position.png",4,220,900)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-0.0292025856</v>
      </c>
      <c r="G2662" t="n">
        <v>0.3237335076554436</v>
      </c>
      <c r="H2662" t="n">
        <v>0.0339624229235622</v>
      </c>
      <c r="I2662" t="n">
        <v>0.0377544847616717</v>
      </c>
      <c r="J2662" t="n">
        <v>0.0282711259066557</v>
      </c>
      <c r="K2662" t="n">
        <v>0.463191257555322</v>
      </c>
      <c r="L2662" t="b">
        <v>0</v>
      </c>
      <c r="M2662" t="b">
        <v>0</v>
      </c>
      <c r="N2662" t="inlineStr">
        <is>
          <t>ref</t>
        </is>
      </c>
      <c r="O2662" t="n">
        <v>5</v>
      </c>
      <c r="P2662" t="n">
        <v>0.002686</v>
      </c>
      <c r="Q2662" t="n">
        <v>5</v>
      </c>
      <c r="R2662" t="n">
        <v>0.01099</v>
      </c>
      <c r="S2662">
        <f>IMAGE("https://mitra.stanford.edu/kundaje/oak/projects/neuro-variants/variant_position/credible/roussos_2024/variant_figures/roussos_2024.infant.GLU/rs658551_count_position.png",4,220,900)</f>
        <v/>
      </c>
      <c r="T2662">
        <f>IMAGE("https://mitra.stanford.edu/kundaje/oak/projects/neuro-variants/variant_position/credible/roussos_2024/variant_figures/roussos_2024.infant.GLU/rs658551_profile_position.png",4,220,900)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0.0047502084659999</v>
      </c>
      <c r="G2663" t="n">
        <v>0.7804089859559239</v>
      </c>
      <c r="H2663" t="n">
        <v>0.0195121315446021</v>
      </c>
      <c r="I2663" t="n">
        <v>0.1947084330370418</v>
      </c>
      <c r="J2663" t="n">
        <v>0.127512731762164</v>
      </c>
      <c r="K2663" t="n">
        <v>0.1708586669215724</v>
      </c>
      <c r="L2663" t="b">
        <v>0</v>
      </c>
      <c r="M2663" t="b">
        <v>0</v>
      </c>
      <c r="N2663" t="inlineStr">
        <is>
          <t>alt</t>
        </is>
      </c>
      <c r="O2663" t="n">
        <v>40</v>
      </c>
      <c r="P2663" t="n">
        <v>0.02937</v>
      </c>
      <c r="Q2663" t="n">
        <v>100</v>
      </c>
      <c r="R2663" t="n">
        <v>0.1819</v>
      </c>
      <c r="S2663">
        <f>IMAGE("https://mitra.stanford.edu/kundaje/oak/projects/neuro-variants/variant_position/credible/roussos_2024/variant_figures/roussos_2024.infant.GLU/rs627529_count_position.png",4,220,900)</f>
        <v/>
      </c>
      <c r="T2663">
        <f>IMAGE("https://mitra.stanford.edu/kundaje/oak/projects/neuro-variants/variant_position/credible/roussos_2024/variant_figures/roussos_2024.infant.GLU/rs627529_profile_position.png",4,220,900)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-0.1146949558</v>
      </c>
      <c r="G2664" t="n">
        <v>0.0380795738358144</v>
      </c>
      <c r="H2664" t="n">
        <v>0.0228811157689588</v>
      </c>
      <c r="I2664" t="n">
        <v>0.1295990276319799</v>
      </c>
      <c r="J2664" t="n">
        <v>0.0610000220463413</v>
      </c>
      <c r="K2664" t="n">
        <v>0.3067270292509287</v>
      </c>
      <c r="L2664" t="b">
        <v>0</v>
      </c>
      <c r="M2664" t="b">
        <v>0</v>
      </c>
      <c r="N2664" t="inlineStr">
        <is>
          <t>ref</t>
        </is>
      </c>
      <c r="O2664" t="n">
        <v>25</v>
      </c>
      <c r="P2664" t="n">
        <v>0.001198</v>
      </c>
      <c r="Q2664" t="n">
        <v>5</v>
      </c>
      <c r="R2664" t="n">
        <v>0.00293</v>
      </c>
      <c r="S2664">
        <f>IMAGE("https://mitra.stanford.edu/kundaje/oak/projects/neuro-variants/variant_position/credible/roussos_2024/variant_figures/roussos_2024.infant.GLU/rs7617921_count_position.png",4,220,900)</f>
        <v/>
      </c>
      <c r="T2664">
        <f>IMAGE("https://mitra.stanford.edu/kundaje/oak/projects/neuro-variants/variant_position/credible/roussos_2024/variant_figures/roussos_2024.infant.GLU/rs7617921_profile_position.png",4,220,900)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0.1879167279999999</v>
      </c>
      <c r="G2665" t="n">
        <v>0.0169390970560003</v>
      </c>
      <c r="H2665" t="n">
        <v>0.0277831167245557</v>
      </c>
      <c r="I2665" t="n">
        <v>0.08425055459550521</v>
      </c>
      <c r="J2665" t="n">
        <v>0.0101016336338984</v>
      </c>
      <c r="K2665" t="n">
        <v>0.6996185172192095</v>
      </c>
      <c r="L2665" t="b">
        <v>1</v>
      </c>
      <c r="M2665" t="b">
        <v>0</v>
      </c>
      <c r="N2665" t="inlineStr">
        <is>
          <t>alt</t>
        </is>
      </c>
      <c r="O2665" t="n">
        <v>60</v>
      </c>
      <c r="P2665" t="n">
        <v>0.01587</v>
      </c>
      <c r="Q2665" t="n">
        <v>70</v>
      </c>
      <c r="R2665" t="n">
        <v>0.04065</v>
      </c>
      <c r="S2665">
        <f>IMAGE("https://mitra.stanford.edu/kundaje/oak/projects/neuro-variants/variant_position/credible/roussos_2024/variant_figures/roussos_2024.infant.GLU/rs613707_count_position.png",4,220,900)</f>
        <v/>
      </c>
      <c r="T2665">
        <f>IMAGE("https://mitra.stanford.edu/kundaje/oak/projects/neuro-variants/variant_position/credible/roussos_2024/variant_figures/roussos_2024.infant.GLU/rs613707_profile_position.png",4,220,900)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-0.0402469705199999</v>
      </c>
      <c r="G2666" t="n">
        <v>0.2457182552033195</v>
      </c>
      <c r="H2666" t="n">
        <v>0.0178157526315846</v>
      </c>
      <c r="I2666" t="n">
        <v>0.2503454512734534</v>
      </c>
      <c r="J2666" t="n">
        <v>0.0605568905840075</v>
      </c>
      <c r="K2666" t="n">
        <v>0.3021099254098678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0.05368</v>
      </c>
      <c r="Q2666" t="n">
        <v>-100</v>
      </c>
      <c r="R2666" t="n">
        <v>0.05365</v>
      </c>
      <c r="S2666">
        <f>IMAGE("https://mitra.stanford.edu/kundaje/oak/projects/neuro-variants/variant_position/credible/roussos_2024/variant_figures/roussos_2024.infant.GLU/rs9832758_count_position.png",4,220,900)</f>
        <v/>
      </c>
      <c r="T2666">
        <f>IMAGE("https://mitra.stanford.edu/kundaje/oak/projects/neuro-variants/variant_position/credible/roussos_2024/variant_figures/roussos_2024.infant.GLU/rs9832758_profile_position.png",4,220,900)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0.1187305951999999</v>
      </c>
      <c r="G2667" t="n">
        <v>0.0364262879361665</v>
      </c>
      <c r="H2667" t="n">
        <v>0.033777384812136</v>
      </c>
      <c r="I2667" t="n">
        <v>0.0388593652407158</v>
      </c>
      <c r="J2667" t="n">
        <v>0.0180416234925813</v>
      </c>
      <c r="K2667" t="n">
        <v>0.5907610994774775</v>
      </c>
      <c r="L2667" t="b">
        <v>0</v>
      </c>
      <c r="M2667" t="b">
        <v>0</v>
      </c>
      <c r="N2667" t="inlineStr">
        <is>
          <t>alt</t>
        </is>
      </c>
      <c r="O2667" t="n">
        <v>-20</v>
      </c>
      <c r="P2667" t="n">
        <v>0.001602</v>
      </c>
      <c r="Q2667" t="n">
        <v>-75</v>
      </c>
      <c r="R2667" t="n">
        <v>0.1033</v>
      </c>
      <c r="S2667">
        <f>IMAGE("https://mitra.stanford.edu/kundaje/oak/projects/neuro-variants/variant_position/credible/roussos_2024/variant_figures/roussos_2024.infant.GLU/rs7633748_count_position.png",4,220,900)</f>
        <v/>
      </c>
      <c r="T2667">
        <f>IMAGE("https://mitra.stanford.edu/kundaje/oak/projects/neuro-variants/variant_position/credible/roussos_2024/variant_figures/roussos_2024.infant.GLU/rs7633748_profile_position.png",4,220,900)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0.0058048592</v>
      </c>
      <c r="G2668" t="n">
        <v>0.7557463413286487</v>
      </c>
      <c r="H2668" t="n">
        <v>0.0049992250299807</v>
      </c>
      <c r="I2668" t="n">
        <v>0.9979929759216556</v>
      </c>
      <c r="J2668" t="n">
        <v>0.0070801825437068</v>
      </c>
      <c r="K2668" t="n">
        <v>0.7172089133792611</v>
      </c>
      <c r="L2668" t="b">
        <v>0</v>
      </c>
      <c r="M2668" t="b">
        <v>0</v>
      </c>
      <c r="N2668" t="inlineStr">
        <is>
          <t>alt</t>
        </is>
      </c>
      <c r="O2668" t="n">
        <v>30</v>
      </c>
      <c r="P2668" t="n">
        <v>0.003315</v>
      </c>
      <c r="Q2668" t="n">
        <v>100</v>
      </c>
      <c r="R2668" t="n">
        <v>0.06476</v>
      </c>
      <c r="S2668">
        <f>IMAGE("https://mitra.stanford.edu/kundaje/oak/projects/neuro-variants/variant_position/credible/roussos_2024/variant_figures/roussos_2024.infant.GLU/rs9865863_count_position.png",4,220,900)</f>
        <v/>
      </c>
      <c r="T2668">
        <f>IMAGE("https://mitra.stanford.edu/kundaje/oak/projects/neuro-variants/variant_position/credible/roussos_2024/variant_figures/roussos_2024.infant.GLU/rs9865863_profile_position.png",4,220,900)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0.2303464759999999</v>
      </c>
      <c r="G2669" t="n">
        <v>0.0071974558406207</v>
      </c>
      <c r="H2669" t="n">
        <v>0.0293106098472073</v>
      </c>
      <c r="I2669" t="n">
        <v>0.06392439505782541</v>
      </c>
      <c r="J2669" t="n">
        <v>0.041159417094733</v>
      </c>
      <c r="K2669" t="n">
        <v>0.3798044778816691</v>
      </c>
      <c r="L2669" t="b">
        <v>1</v>
      </c>
      <c r="M2669" t="b">
        <v>1</v>
      </c>
      <c r="N2669" t="inlineStr">
        <is>
          <t>alt</t>
        </is>
      </c>
      <c r="O2669" t="n">
        <v>45</v>
      </c>
      <c r="P2669" t="n">
        <v>0.003475</v>
      </c>
      <c r="Q2669" t="n">
        <v>-85</v>
      </c>
      <c r="R2669" t="n">
        <v>0.04834</v>
      </c>
      <c r="S2669">
        <f>IMAGE("https://mitra.stanford.edu/kundaje/oak/projects/neuro-variants/variant_position/credible/roussos_2024/variant_figures/roussos_2024.infant.GLU/rs9812564_count_position.png",4,220,900)</f>
        <v/>
      </c>
      <c r="T2669">
        <f>IMAGE("https://mitra.stanford.edu/kundaje/oak/projects/neuro-variants/variant_position/credible/roussos_2024/variant_figures/roussos_2024.infant.GLU/rs9812564_profile_position.png",4,220,900)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-0.048193254</v>
      </c>
      <c r="G2670" t="n">
        <v>0.183738525401135</v>
      </c>
      <c r="H2670" t="n">
        <v>0.0364997331362432</v>
      </c>
      <c r="I2670" t="n">
        <v>0.0290553187656692</v>
      </c>
      <c r="J2670" t="n">
        <v>0.0143477589893956</v>
      </c>
      <c r="K2670" t="n">
        <v>0.5947096448707895</v>
      </c>
      <c r="L2670" t="b">
        <v>0</v>
      </c>
      <c r="M2670" t="b">
        <v>0</v>
      </c>
      <c r="N2670" t="inlineStr">
        <is>
          <t>ref</t>
        </is>
      </c>
      <c r="O2670" t="n">
        <v>-90</v>
      </c>
      <c r="P2670" t="n">
        <v>0.0581</v>
      </c>
      <c r="Q2670" t="n">
        <v>5</v>
      </c>
      <c r="R2670" t="n">
        <v>0.001434</v>
      </c>
      <c r="S2670">
        <f>IMAGE("https://mitra.stanford.edu/kundaje/oak/projects/neuro-variants/variant_position/credible/roussos_2024/variant_figures/roussos_2024.infant.GLU/rs78929026_count_position.png",4,220,900)</f>
        <v/>
      </c>
      <c r="T2670">
        <f>IMAGE("https://mitra.stanford.edu/kundaje/oak/projects/neuro-variants/variant_position/credible/roussos_2024/variant_figures/roussos_2024.infant.GLU/rs78929026_profile_position.png",4,220,900)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0.0068877038679999</v>
      </c>
      <c r="G2671" t="n">
        <v>0.6012283391334425</v>
      </c>
      <c r="H2671" t="n">
        <v>0.0183474235530393</v>
      </c>
      <c r="I2671" t="n">
        <v>0.226919673614925</v>
      </c>
      <c r="J2671" t="n">
        <v>0.0241319253069952</v>
      </c>
      <c r="K2671" t="n">
        <v>0.5025409576126838</v>
      </c>
      <c r="L2671" t="b">
        <v>0</v>
      </c>
      <c r="M2671" t="b">
        <v>0</v>
      </c>
      <c r="N2671" t="inlineStr">
        <is>
          <t>alt</t>
        </is>
      </c>
      <c r="O2671" t="n">
        <v>-100</v>
      </c>
      <c r="P2671" t="n">
        <v>0.0265</v>
      </c>
      <c r="Q2671" t="n">
        <v>-100</v>
      </c>
      <c r="R2671" t="n">
        <v>0.2668</v>
      </c>
      <c r="S2671">
        <f>IMAGE("https://mitra.stanford.edu/kundaje/oak/projects/neuro-variants/variant_position/credible/roussos_2024/variant_figures/roussos_2024.infant.GLU/rs9831201_count_position.png",4,220,900)</f>
        <v/>
      </c>
      <c r="T2671">
        <f>IMAGE("https://mitra.stanford.edu/kundaje/oak/projects/neuro-variants/variant_position/credible/roussos_2024/variant_figures/roussos_2024.infant.GLU/rs9831201_profile_position.png",4,220,900)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0.06667251439999999</v>
      </c>
      <c r="G2672" t="n">
        <v>0.1158690923289871</v>
      </c>
      <c r="H2672" t="n">
        <v>0.0519483231699517</v>
      </c>
      <c r="I2672" t="n">
        <v>0.0062444191400861</v>
      </c>
      <c r="J2672" t="n">
        <v>0.018029498004806</v>
      </c>
      <c r="K2672" t="n">
        <v>0.5603755881844855</v>
      </c>
      <c r="L2672" t="b">
        <v>1</v>
      </c>
      <c r="M2672" t="b">
        <v>0</v>
      </c>
      <c r="N2672" t="inlineStr">
        <is>
          <t>alt</t>
        </is>
      </c>
      <c r="O2672" t="n">
        <v>-100</v>
      </c>
      <c r="P2672" t="n">
        <v>0.01022</v>
      </c>
      <c r="Q2672" t="n">
        <v>60</v>
      </c>
      <c r="R2672" t="n">
        <v>0.09296</v>
      </c>
      <c r="S2672">
        <f>IMAGE("https://mitra.stanford.edu/kundaje/oak/projects/neuro-variants/variant_position/credible/roussos_2024/variant_figures/roussos_2024.infant.GLU/rs9839468_count_position.png",4,220,900)</f>
        <v/>
      </c>
      <c r="T2672">
        <f>IMAGE("https://mitra.stanford.edu/kundaje/oak/projects/neuro-variants/variant_position/credible/roussos_2024/variant_figures/roussos_2024.infant.GLU/rs9839468_profile_position.png",4,220,900)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-0.030684686</v>
      </c>
      <c r="G2673" t="n">
        <v>0.3148918315530029</v>
      </c>
      <c r="H2673" t="n">
        <v>0.0132178930430509</v>
      </c>
      <c r="I2673" t="n">
        <v>0.4668619421891987</v>
      </c>
      <c r="J2673" t="n">
        <v>0.5969774465927379</v>
      </c>
      <c r="K2673" t="n">
        <v>0.0214650896144744</v>
      </c>
      <c r="L2673" t="b">
        <v>0</v>
      </c>
      <c r="M2673" t="b">
        <v>0</v>
      </c>
      <c r="N2673" t="inlineStr">
        <is>
          <t>ref</t>
        </is>
      </c>
      <c r="O2673" t="n">
        <v>-100</v>
      </c>
      <c r="P2673" t="n">
        <v>0.03296</v>
      </c>
      <c r="Q2673" t="n">
        <v>-100</v>
      </c>
      <c r="R2673" t="n">
        <v>0.2812</v>
      </c>
      <c r="S2673">
        <f>IMAGE("https://mitra.stanford.edu/kundaje/oak/projects/neuro-variants/variant_position/credible/roussos_2024/variant_figures/roussos_2024.infant.GLU/rs2679046_count_position.png",4,220,900)</f>
        <v/>
      </c>
      <c r="T2673">
        <f>IMAGE("https://mitra.stanford.edu/kundaje/oak/projects/neuro-variants/variant_position/credible/roussos_2024/variant_figures/roussos_2024.infant.GLU/rs2679046_profile_position.png",4,220,900)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-0.1575183768</v>
      </c>
      <c r="G2674" t="n">
        <v>0.0187239582465732</v>
      </c>
      <c r="H2674" t="n">
        <v>0.0296089087634079</v>
      </c>
      <c r="I2674" t="n">
        <v>0.0617862819979687</v>
      </c>
      <c r="J2674" t="n">
        <v>0.1993198703675124</v>
      </c>
      <c r="K2674" t="n">
        <v>0.1120181595999022</v>
      </c>
      <c r="L2674" t="b">
        <v>1</v>
      </c>
      <c r="M2674" t="b">
        <v>0</v>
      </c>
      <c r="N2674" t="inlineStr">
        <is>
          <t>ref</t>
        </is>
      </c>
      <c r="O2674" t="n">
        <v>-25</v>
      </c>
      <c r="P2674" t="n">
        <v>0.009674</v>
      </c>
      <c r="Q2674" t="n">
        <v>-25</v>
      </c>
      <c r="R2674" t="n">
        <v>0.06884999999999999</v>
      </c>
      <c r="S2674">
        <f>IMAGE("https://mitra.stanford.edu/kundaje/oak/projects/neuro-variants/variant_position/credible/roussos_2024/variant_figures/roussos_2024.infant.GLU/rs2679042_count_position.png",4,220,900)</f>
        <v/>
      </c>
      <c r="T2674">
        <f>IMAGE("https://mitra.stanford.edu/kundaje/oak/projects/neuro-variants/variant_position/credible/roussos_2024/variant_figures/roussos_2024.infant.GLU/rs2679042_profile_position.png",4,220,900)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0.01652098494</v>
      </c>
      <c r="G2675" t="n">
        <v>0.4965377331679259</v>
      </c>
      <c r="H2675" t="n">
        <v>0.030228610574089</v>
      </c>
      <c r="I2675" t="n">
        <v>0.0563847714031558</v>
      </c>
      <c r="J2675" t="n">
        <v>0.0181816177605325</v>
      </c>
      <c r="K2675" t="n">
        <v>0.5512659105458324</v>
      </c>
      <c r="L2675" t="b">
        <v>0</v>
      </c>
      <c r="M2675" t="b">
        <v>0</v>
      </c>
      <c r="N2675" t="inlineStr">
        <is>
          <t>alt</t>
        </is>
      </c>
      <c r="O2675" t="n">
        <v>25</v>
      </c>
      <c r="P2675" t="n">
        <v>0.004387</v>
      </c>
      <c r="Q2675" t="n">
        <v>95</v>
      </c>
      <c r="R2675" t="n">
        <v>0.03198</v>
      </c>
      <c r="S2675">
        <f>IMAGE("https://mitra.stanford.edu/kundaje/oak/projects/neuro-variants/variant_position/credible/roussos_2024/variant_figures/roussos_2024.infant.GLU/rs2372667_count_position.png",4,220,900)</f>
        <v/>
      </c>
      <c r="T2675">
        <f>IMAGE("https://mitra.stanford.edu/kundaje/oak/projects/neuro-variants/variant_position/credible/roussos_2024/variant_figures/roussos_2024.infant.GLU/rs2372667_profile_position.png",4,220,900)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0.01004786092</v>
      </c>
      <c r="G2676" t="n">
        <v>0.6363172100938084</v>
      </c>
      <c r="H2676" t="n">
        <v>0.0251858422786682</v>
      </c>
      <c r="I2676" t="n">
        <v>0.0981238926462237</v>
      </c>
      <c r="J2676" t="n">
        <v>0.0226493088471967</v>
      </c>
      <c r="K2676" t="n">
        <v>0.5121356339315324</v>
      </c>
      <c r="L2676" t="b">
        <v>0</v>
      </c>
      <c r="M2676" t="b">
        <v>0</v>
      </c>
      <c r="N2676" t="inlineStr">
        <is>
          <t>alt</t>
        </is>
      </c>
      <c r="O2676" t="n">
        <v>-100</v>
      </c>
      <c r="P2676" t="n">
        <v>0.09039999999999999</v>
      </c>
      <c r="Q2676" t="n">
        <v>-100</v>
      </c>
      <c r="R2676" t="n">
        <v>0.01741</v>
      </c>
      <c r="S2676">
        <f>IMAGE("https://mitra.stanford.edu/kundaje/oak/projects/neuro-variants/variant_position/credible/roussos_2024/variant_figures/roussos_2024.infant.GLU/rs2250739_count_position.png",4,220,900)</f>
        <v/>
      </c>
      <c r="T2676">
        <f>IMAGE("https://mitra.stanford.edu/kundaje/oak/projects/neuro-variants/variant_position/credible/roussos_2024/variant_figures/roussos_2024.infant.GLU/rs2250739_profile_position.png",4,220,900)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-0.017036621</v>
      </c>
      <c r="G2677" t="n">
        <v>0.3951868611789937</v>
      </c>
      <c r="H2677" t="n">
        <v>0.0086098737266651</v>
      </c>
      <c r="I2677" t="n">
        <v>0.8595126202958767</v>
      </c>
      <c r="J2677" t="n">
        <v>0.048884455124672</v>
      </c>
      <c r="K2677" t="n">
        <v>0.3495346020824798</v>
      </c>
      <c r="L2677" t="b">
        <v>0</v>
      </c>
      <c r="M2677" t="b">
        <v>0</v>
      </c>
      <c r="N2677" t="inlineStr">
        <is>
          <t>ref</t>
        </is>
      </c>
      <c r="O2677" t="n">
        <v>-85</v>
      </c>
      <c r="P2677" t="n">
        <v>0.01779</v>
      </c>
      <c r="Q2677" t="n">
        <v>25</v>
      </c>
      <c r="R2677" t="n">
        <v>0.01306</v>
      </c>
      <c r="S2677">
        <f>IMAGE("https://mitra.stanford.edu/kundaje/oak/projects/neuro-variants/variant_position/credible/roussos_2024/variant_figures/roussos_2024.infant.GLU/rs2639255_count_position.png",4,220,900)</f>
        <v/>
      </c>
      <c r="T2677">
        <f>IMAGE("https://mitra.stanford.edu/kundaje/oak/projects/neuro-variants/variant_position/credible/roussos_2024/variant_figures/roussos_2024.infant.GLU/rs2639255_profile_position.png",4,220,900)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0.0018768897799999</v>
      </c>
      <c r="G2678" t="n">
        <v>0.7734848764227771</v>
      </c>
      <c r="H2678" t="n">
        <v>0.0381605785782264</v>
      </c>
      <c r="I2678" t="n">
        <v>0.0244545979293857</v>
      </c>
      <c r="J2678" t="n">
        <v>0.16991335787826</v>
      </c>
      <c r="K2678" t="n">
        <v>0.1336229074599972</v>
      </c>
      <c r="L2678" t="b">
        <v>0</v>
      </c>
      <c r="M2678" t="b">
        <v>0</v>
      </c>
      <c r="N2678" t="inlineStr">
        <is>
          <t>alt</t>
        </is>
      </c>
      <c r="O2678" t="n">
        <v>-95</v>
      </c>
      <c r="P2678" t="n">
        <v>0.02129</v>
      </c>
      <c r="Q2678" t="n">
        <v>100</v>
      </c>
      <c r="R2678" t="n">
        <v>0.0823</v>
      </c>
      <c r="S2678">
        <f>IMAGE("https://mitra.stanford.edu/kundaje/oak/projects/neuro-variants/variant_position/credible/roussos_2024/variant_figures/roussos_2024.infant.GLU/rs2639254_count_position.png",4,220,900)</f>
        <v/>
      </c>
      <c r="T2678">
        <f>IMAGE("https://mitra.stanford.edu/kundaje/oak/projects/neuro-variants/variant_position/credible/roussos_2024/variant_figures/roussos_2024.infant.GLU/rs2639254_profile_position.png",4,220,900)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0.0125172665399999</v>
      </c>
      <c r="G2679" t="n">
        <v>0.299670036559565</v>
      </c>
      <c r="H2679" t="n">
        <v>0.0188646792093968</v>
      </c>
      <c r="I2679" t="n">
        <v>0.241791930467424</v>
      </c>
      <c r="J2679" t="n">
        <v>0.0003461275601313</v>
      </c>
      <c r="K2679" t="n">
        <v>0.9550946247068844</v>
      </c>
      <c r="L2679" t="b">
        <v>0</v>
      </c>
      <c r="M2679" t="b">
        <v>0</v>
      </c>
      <c r="N2679" t="inlineStr">
        <is>
          <t>alt</t>
        </is>
      </c>
      <c r="O2679" t="n">
        <v>85</v>
      </c>
      <c r="P2679" t="n">
        <v>0.0003128</v>
      </c>
      <c r="Q2679" t="n">
        <v>-60</v>
      </c>
      <c r="R2679" t="n">
        <v>0.04214</v>
      </c>
      <c r="S2679">
        <f>IMAGE("https://mitra.stanford.edu/kundaje/oak/projects/neuro-variants/variant_position/credible/roussos_2024/variant_figures/roussos_2024.infant.GLU/rs2639213_count_position.png",4,220,900)</f>
        <v/>
      </c>
      <c r="T2679">
        <f>IMAGE("https://mitra.stanford.edu/kundaje/oak/projects/neuro-variants/variant_position/credible/roussos_2024/variant_figures/roussos_2024.infant.GLU/rs2639213_profile_position.png",4,220,900)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0.10371169</v>
      </c>
      <c r="G2680" t="n">
        <v>0.0461049238123205</v>
      </c>
      <c r="H2680" t="n">
        <v>0.0161371296519794</v>
      </c>
      <c r="I2680" t="n">
        <v>0.3067053495994619</v>
      </c>
      <c r="J2680" t="n">
        <v>0.7664024780087745</v>
      </c>
      <c r="K2680" t="n">
        <v>0.0102056551317328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0.0654</v>
      </c>
      <c r="Q2680" t="n">
        <v>-70</v>
      </c>
      <c r="R2680" t="n">
        <v>0.2568</v>
      </c>
      <c r="S2680">
        <f>IMAGE("https://mitra.stanford.edu/kundaje/oak/projects/neuro-variants/variant_position/credible/roussos_2024/variant_figures/roussos_2024.infant.GLU/rs7644809_count_position.png",4,220,900)</f>
        <v/>
      </c>
      <c r="T2680">
        <f>IMAGE("https://mitra.stanford.edu/kundaje/oak/projects/neuro-variants/variant_position/credible/roussos_2024/variant_figures/roussos_2024.infant.GLU/rs7644809_profile_position.png",4,220,900)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-0.220107036</v>
      </c>
      <c r="G2681" t="n">
        <v>0.0077588753596255</v>
      </c>
      <c r="H2681" t="n">
        <v>0.0333621688100905</v>
      </c>
      <c r="I2681" t="n">
        <v>0.040226670261829</v>
      </c>
      <c r="J2681" t="n">
        <v>0.0672005555678034</v>
      </c>
      <c r="K2681" t="n">
        <v>0.2889121282719039</v>
      </c>
      <c r="L2681" t="b">
        <v>1</v>
      </c>
      <c r="M2681" t="b">
        <v>1</v>
      </c>
      <c r="N2681" t="inlineStr">
        <is>
          <t>ref</t>
        </is>
      </c>
      <c r="O2681" t="n">
        <v>35</v>
      </c>
      <c r="P2681" t="n">
        <v>0.002136</v>
      </c>
      <c r="Q2681" t="n">
        <v>-50</v>
      </c>
      <c r="R2681" t="n">
        <v>0.02393</v>
      </c>
      <c r="S2681">
        <f>IMAGE("https://mitra.stanford.edu/kundaje/oak/projects/neuro-variants/variant_position/credible/roussos_2024/variant_figures/roussos_2024.infant.GLU/rs3206652_count_position.png",4,220,900)</f>
        <v/>
      </c>
      <c r="T2681">
        <f>IMAGE("https://mitra.stanford.edu/kundaje/oak/projects/neuro-variants/variant_position/credible/roussos_2024/variant_figures/roussos_2024.infant.GLU/rs3206652_profile_position.png",4,220,900)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-0.0374604374</v>
      </c>
      <c r="G2682" t="n">
        <v>0.2526857362598129</v>
      </c>
      <c r="H2682" t="n">
        <v>0.045231359442044</v>
      </c>
      <c r="I2682" t="n">
        <v>0.0119609145043853</v>
      </c>
      <c r="J2682" t="n">
        <v>0.0372483961286623</v>
      </c>
      <c r="K2682" t="n">
        <v>0.4064367273194929</v>
      </c>
      <c r="L2682" t="b">
        <v>1</v>
      </c>
      <c r="M2682" t="b">
        <v>0</v>
      </c>
      <c r="N2682" t="inlineStr">
        <is>
          <t>ref</t>
        </is>
      </c>
      <c r="O2682" t="n">
        <v>-75</v>
      </c>
      <c r="P2682" t="n">
        <v>0.006187</v>
      </c>
      <c r="Q2682" t="n">
        <v>-95</v>
      </c>
      <c r="R2682" t="n">
        <v>0.05933</v>
      </c>
      <c r="S2682">
        <f>IMAGE("https://mitra.stanford.edu/kundaje/oak/projects/neuro-variants/variant_position/credible/roussos_2024/variant_figures/roussos_2024.infant.GLU/rs3804638_count_position.png",4,220,900)</f>
        <v/>
      </c>
      <c r="T2682">
        <f>IMAGE("https://mitra.stanford.edu/kundaje/oak/projects/neuro-variants/variant_position/credible/roussos_2024/variant_figures/roussos_2024.infant.GLU/rs3804638_profile_position.png",4,220,900)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-0.0324998702</v>
      </c>
      <c r="G2683" t="n">
        <v>0.3003150228618707</v>
      </c>
      <c r="H2683" t="n">
        <v>0.0103954954596762</v>
      </c>
      <c r="I2683" t="n">
        <v>0.6963856488927709</v>
      </c>
      <c r="J2683" t="n">
        <v>0.0655481822791507</v>
      </c>
      <c r="K2683" t="n">
        <v>0.2956947420753157</v>
      </c>
      <c r="L2683" t="b">
        <v>0</v>
      </c>
      <c r="M2683" t="b">
        <v>0</v>
      </c>
      <c r="N2683" t="inlineStr">
        <is>
          <t>ref</t>
        </is>
      </c>
      <c r="O2683" t="n">
        <v>85</v>
      </c>
      <c r="P2683" t="n">
        <v>0.007626</v>
      </c>
      <c r="Q2683" t="n">
        <v>-100</v>
      </c>
      <c r="R2683" t="n">
        <v>0.1598</v>
      </c>
      <c r="S2683">
        <f>IMAGE("https://mitra.stanford.edu/kundaje/oak/projects/neuro-variants/variant_position/credible/roussos_2024/variant_figures/roussos_2024.infant.GLU/rs7628325_count_position.png",4,220,900)</f>
        <v/>
      </c>
      <c r="T2683">
        <f>IMAGE("https://mitra.stanford.edu/kundaje/oak/projects/neuro-variants/variant_position/credible/roussos_2024/variant_figures/roussos_2024.infant.GLU/rs7628325_profile_position.png",4,220,900)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0.09501575180000001</v>
      </c>
      <c r="G2684" t="n">
        <v>0.07102464461025421</v>
      </c>
      <c r="H2684" t="n">
        <v>0.0241714088509442</v>
      </c>
      <c r="I2684" t="n">
        <v>0.1120716465305436</v>
      </c>
      <c r="J2684" t="n">
        <v>0.0597158226592296</v>
      </c>
      <c r="K2684" t="n">
        <v>0.3111917322657572</v>
      </c>
      <c r="L2684" t="b">
        <v>0</v>
      </c>
      <c r="M2684" t="b">
        <v>0</v>
      </c>
      <c r="N2684" t="inlineStr">
        <is>
          <t>alt</t>
        </is>
      </c>
      <c r="O2684" t="n">
        <v>70</v>
      </c>
      <c r="P2684" t="n">
        <v>0.003822</v>
      </c>
      <c r="Q2684" t="n">
        <v>-90</v>
      </c>
      <c r="R2684" t="n">
        <v>0.0469</v>
      </c>
      <c r="S2684">
        <f>IMAGE("https://mitra.stanford.edu/kundaje/oak/projects/neuro-variants/variant_position/credible/roussos_2024/variant_figures/roussos_2024.infant.GLU/rs34910554_count_position.png",4,220,900)</f>
        <v/>
      </c>
      <c r="T2684">
        <f>IMAGE("https://mitra.stanford.edu/kundaje/oak/projects/neuro-variants/variant_position/credible/roussos_2024/variant_figures/roussos_2024.infant.GLU/rs34910554_profile_position.png",4,220,900)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-0.07827839019999989</v>
      </c>
      <c r="G2685" t="n">
        <v>0.0824404055373245</v>
      </c>
      <c r="H2685" t="n">
        <v>0.0183469153759084</v>
      </c>
      <c r="I2685" t="n">
        <v>0.2328400302354746</v>
      </c>
      <c r="J2685" t="n">
        <v>0.0511464097533014</v>
      </c>
      <c r="K2685" t="n">
        <v>0.3371967244051649</v>
      </c>
      <c r="L2685" t="b">
        <v>0</v>
      </c>
      <c r="M2685" t="b">
        <v>0</v>
      </c>
      <c r="N2685" t="inlineStr">
        <is>
          <t>ref</t>
        </is>
      </c>
      <c r="O2685" t="n">
        <v>-100</v>
      </c>
      <c r="P2685" t="n">
        <v>0.009180000000000001</v>
      </c>
      <c r="Q2685" t="n">
        <v>-100</v>
      </c>
      <c r="R2685" t="n">
        <v>0.05066</v>
      </c>
      <c r="S2685">
        <f>IMAGE("https://mitra.stanford.edu/kundaje/oak/projects/neuro-variants/variant_position/credible/roussos_2024/variant_figures/roussos_2024.infant.GLU/rs17231503_count_position.png",4,220,900)</f>
        <v/>
      </c>
      <c r="T2685">
        <f>IMAGE("https://mitra.stanford.edu/kundaje/oak/projects/neuro-variants/variant_position/credible/roussos_2024/variant_figures/roussos_2024.infant.GLU/rs17231503_profile_position.png",4,220,900)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0.040210944</v>
      </c>
      <c r="G2686" t="n">
        <v>0.2246808536480171</v>
      </c>
      <c r="H2686" t="n">
        <v>0.0139769323493785</v>
      </c>
      <c r="I2686" t="n">
        <v>0.4181289630096786</v>
      </c>
      <c r="J2686" t="n">
        <v>0.2707081284860777</v>
      </c>
      <c r="K2686" t="n">
        <v>0.07700630677496</v>
      </c>
      <c r="L2686" t="b">
        <v>0</v>
      </c>
      <c r="M2686" t="b">
        <v>0</v>
      </c>
      <c r="N2686" t="inlineStr">
        <is>
          <t>alt</t>
        </is>
      </c>
      <c r="O2686" t="n">
        <v>-45</v>
      </c>
      <c r="P2686" t="n">
        <v>0.001999</v>
      </c>
      <c r="Q2686" t="n">
        <v>40</v>
      </c>
      <c r="R2686" t="n">
        <v>0.0818</v>
      </c>
      <c r="S2686">
        <f>IMAGE("https://mitra.stanford.edu/kundaje/oak/projects/neuro-variants/variant_position/credible/roussos_2024/variant_figures/roussos_2024.infant.GLU/rs326361_count_position.png",4,220,900)</f>
        <v/>
      </c>
      <c r="T2686">
        <f>IMAGE("https://mitra.stanford.edu/kundaje/oak/projects/neuro-variants/variant_position/credible/roussos_2024/variant_figures/roussos_2024.infant.GLU/rs326361_profile_position.png",4,220,900)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0.074292231</v>
      </c>
      <c r="G2687" t="n">
        <v>0.08378011010244189</v>
      </c>
      <c r="H2687" t="n">
        <v>0.0088684423878942</v>
      </c>
      <c r="I2687" t="n">
        <v>0.8247559210321963</v>
      </c>
      <c r="J2687" t="n">
        <v>0.0043343107211358</v>
      </c>
      <c r="K2687" t="n">
        <v>0.7817325177177727</v>
      </c>
      <c r="L2687" t="b">
        <v>0</v>
      </c>
      <c r="M2687" t="b">
        <v>0</v>
      </c>
      <c r="N2687" t="inlineStr">
        <is>
          <t>alt</t>
        </is>
      </c>
      <c r="O2687" t="n">
        <v>70</v>
      </c>
      <c r="P2687" t="n">
        <v>0.032</v>
      </c>
      <c r="Q2687" t="n">
        <v>80</v>
      </c>
      <c r="R2687" t="n">
        <v>0.02771</v>
      </c>
      <c r="S2687">
        <f>IMAGE("https://mitra.stanford.edu/kundaje/oak/projects/neuro-variants/variant_position/credible/roussos_2024/variant_figures/roussos_2024.infant.GLU/rs60140727_count_position.png",4,220,900)</f>
        <v/>
      </c>
      <c r="T2687">
        <f>IMAGE("https://mitra.stanford.edu/kundaje/oak/projects/neuro-variants/variant_position/credible/roussos_2024/variant_figures/roussos_2024.infant.GLU/rs60140727_profile_position.png",4,220,900)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0.0238013988</v>
      </c>
      <c r="G2688" t="n">
        <v>0.3781900177059901</v>
      </c>
      <c r="H2688" t="n">
        <v>0.0354680499087254</v>
      </c>
      <c r="I2688" t="n">
        <v>0.032161082739887</v>
      </c>
      <c r="J2688" t="n">
        <v>0.0207941092175752</v>
      </c>
      <c r="K2688" t="n">
        <v>0.5273664737396504</v>
      </c>
      <c r="L2688" t="b">
        <v>0</v>
      </c>
      <c r="M2688" t="b">
        <v>0</v>
      </c>
      <c r="N2688" t="inlineStr">
        <is>
          <t>alt</t>
        </is>
      </c>
      <c r="O2688" t="n">
        <v>-95</v>
      </c>
      <c r="P2688" t="n">
        <v>0.02353</v>
      </c>
      <c r="Q2688" t="n">
        <v>65</v>
      </c>
      <c r="R2688" t="n">
        <v>0.1818</v>
      </c>
      <c r="S2688">
        <f>IMAGE("https://mitra.stanford.edu/kundaje/oak/projects/neuro-variants/variant_position/credible/roussos_2024/variant_figures/roussos_2024.infant.GLU/rs10514750_count_position.png",4,220,900)</f>
        <v/>
      </c>
      <c r="T2688">
        <f>IMAGE("https://mitra.stanford.edu/kundaje/oak/projects/neuro-variants/variant_position/credible/roussos_2024/variant_figures/roussos_2024.infant.GLU/rs10514750_profile_position.png",4,220,900)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0.07480571380000001</v>
      </c>
      <c r="G2689" t="n">
        <v>0.0836718863841131</v>
      </c>
      <c r="H2689" t="n">
        <v>0.0146683381031907</v>
      </c>
      <c r="I2689" t="n">
        <v>0.3790383500056557</v>
      </c>
      <c r="J2689" t="n">
        <v>0.0118917965563614</v>
      </c>
      <c r="K2689" t="n">
        <v>0.6454102790842955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0.10724</v>
      </c>
      <c r="Q2689" t="n">
        <v>45</v>
      </c>
      <c r="R2689" t="n">
        <v>0.1462</v>
      </c>
      <c r="S2689">
        <f>IMAGE("https://mitra.stanford.edu/kundaje/oak/projects/neuro-variants/variant_position/credible/roussos_2024/variant_figures/roussos_2024.infant.GLU/rs11926978_count_position.png",4,220,900)</f>
        <v/>
      </c>
      <c r="T2689">
        <f>IMAGE("https://mitra.stanford.edu/kundaje/oak/projects/neuro-variants/variant_position/credible/roussos_2024/variant_figures/roussos_2024.infant.GLU/rs11926978_profile_position.png",4,220,900)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0.0037682761419999</v>
      </c>
      <c r="G2690" t="n">
        <v>0.6358409205691129</v>
      </c>
      <c r="H2690" t="n">
        <v>0.0179964446150684</v>
      </c>
      <c r="I2690" t="n">
        <v>0.241790004454395</v>
      </c>
      <c r="J2690" t="n">
        <v>0.0121728874093343</v>
      </c>
      <c r="K2690" t="n">
        <v>0.6421890491626574</v>
      </c>
      <c r="L2690" t="b">
        <v>0</v>
      </c>
      <c r="M2690" t="b">
        <v>0</v>
      </c>
      <c r="N2690" t="inlineStr">
        <is>
          <t>alt</t>
        </is>
      </c>
      <c r="O2690" t="n">
        <v>-10</v>
      </c>
      <c r="P2690" t="n">
        <v>0.008545000000000001</v>
      </c>
      <c r="Q2690" t="n">
        <v>-10</v>
      </c>
      <c r="R2690" t="n">
        <v>0.05164</v>
      </c>
      <c r="S2690">
        <f>IMAGE("https://mitra.stanford.edu/kundaje/oak/projects/neuro-variants/variant_position/credible/roussos_2024/variant_figures/roussos_2024.infant.GLU/rs11919348_count_position.png",4,220,900)</f>
        <v/>
      </c>
      <c r="T2690">
        <f>IMAGE("https://mitra.stanford.edu/kundaje/oak/projects/neuro-variants/variant_position/credible/roussos_2024/variant_figures/roussos_2024.infant.GLU/rs11919348_profile_position.png",4,220,900)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-0.17938623</v>
      </c>
      <c r="G2691" t="n">
        <v>0.0134038142344377</v>
      </c>
      <c r="H2691" t="n">
        <v>0.0303154982225182</v>
      </c>
      <c r="I2691" t="n">
        <v>0.0559540956127825</v>
      </c>
      <c r="J2691" t="n">
        <v>0.0501873939019819</v>
      </c>
      <c r="K2691" t="n">
        <v>0.337398044832463</v>
      </c>
      <c r="L2691" t="b">
        <v>1</v>
      </c>
      <c r="M2691" t="b">
        <v>0</v>
      </c>
      <c r="N2691" t="inlineStr">
        <is>
          <t>ref</t>
        </is>
      </c>
      <c r="O2691" t="n">
        <v>90</v>
      </c>
      <c r="P2691" t="n">
        <v>0.01214</v>
      </c>
      <c r="Q2691" t="n">
        <v>95</v>
      </c>
      <c r="R2691" t="n">
        <v>0.1548</v>
      </c>
      <c r="S2691">
        <f>IMAGE("https://mitra.stanford.edu/kundaje/oak/projects/neuro-variants/variant_position/credible/roussos_2024/variant_figures/roussos_2024.infant.GLU/rs62264146_count_position.png",4,220,900)</f>
        <v/>
      </c>
      <c r="T2691">
        <f>IMAGE("https://mitra.stanford.edu/kundaje/oak/projects/neuro-variants/variant_position/credible/roussos_2024/variant_figures/roussos_2024.infant.GLU/rs62264146_profile_position.png",4,220,900)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0.114747932</v>
      </c>
      <c r="G2692" t="n">
        <v>0.0386394185849322</v>
      </c>
      <c r="H2692" t="n">
        <v>0.0190402618033576</v>
      </c>
      <c r="I2692" t="n">
        <v>0.2138776279011232</v>
      </c>
      <c r="J2692" t="n">
        <v>0.1055700081571463</v>
      </c>
      <c r="K2692" t="n">
        <v>0.1973436530013876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0.00812</v>
      </c>
      <c r="Q2692" t="n">
        <v>-70</v>
      </c>
      <c r="R2692" t="n">
        <v>0.0703</v>
      </c>
      <c r="S2692">
        <f>IMAGE("https://mitra.stanford.edu/kundaje/oak/projects/neuro-variants/variant_position/credible/roussos_2024/variant_figures/roussos_2024.infant.GLU/rs2035_count_position.png",4,220,900)</f>
        <v/>
      </c>
      <c r="T2692">
        <f>IMAGE("https://mitra.stanford.edu/kundaje/oak/projects/neuro-variants/variant_position/credible/roussos_2024/variant_figures/roussos_2024.infant.GLU/rs2035_profile_position.png",4,220,900)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0.0503708488</v>
      </c>
      <c r="G2693" t="n">
        <v>0.1618263081311013</v>
      </c>
      <c r="H2693" t="n">
        <v>0.0461086965744588</v>
      </c>
      <c r="I2693" t="n">
        <v>0.0110465584735645</v>
      </c>
      <c r="J2693" t="n">
        <v>0.0131021406997508</v>
      </c>
      <c r="K2693" t="n">
        <v>0.6128303999363252</v>
      </c>
      <c r="L2693" t="b">
        <v>1</v>
      </c>
      <c r="M2693" t="b">
        <v>0</v>
      </c>
      <c r="N2693" t="inlineStr">
        <is>
          <t>alt</t>
        </is>
      </c>
      <c r="O2693" t="n">
        <v>-95</v>
      </c>
      <c r="P2693" t="n">
        <v>0.03552</v>
      </c>
      <c r="Q2693" t="n">
        <v>-65</v>
      </c>
      <c r="R2693" t="n">
        <v>0.0621</v>
      </c>
      <c r="S2693">
        <f>IMAGE("https://mitra.stanford.edu/kundaje/oak/projects/neuro-variants/variant_position/credible/roussos_2024/variant_figures/roussos_2024.infant.GLU/rs28494587_count_position.png",4,220,900)</f>
        <v/>
      </c>
      <c r="T2693">
        <f>IMAGE("https://mitra.stanford.edu/kundaje/oak/projects/neuro-variants/variant_position/credible/roussos_2024/variant_figures/roussos_2024.infant.GLU/rs28494587_profile_position.png",4,220,900)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-0.0031669109</v>
      </c>
      <c r="G2694" t="n">
        <v>0.729338876015169</v>
      </c>
      <c r="H2694" t="n">
        <v>0.0277810771523337</v>
      </c>
      <c r="I2694" t="n">
        <v>0.0743977874899467</v>
      </c>
      <c r="J2694" t="n">
        <v>0.07845631517449669</v>
      </c>
      <c r="K2694" t="n">
        <v>0.2592621981845794</v>
      </c>
      <c r="L2694" t="b">
        <v>0</v>
      </c>
      <c r="M2694" t="b">
        <v>0</v>
      </c>
      <c r="N2694" t="inlineStr">
        <is>
          <t>ref</t>
        </is>
      </c>
      <c r="O2694" t="n">
        <v>25</v>
      </c>
      <c r="P2694" t="n">
        <v>0.01373</v>
      </c>
      <c r="Q2694" t="n">
        <v>100</v>
      </c>
      <c r="R2694" t="n">
        <v>0.089</v>
      </c>
      <c r="S2694">
        <f>IMAGE("https://mitra.stanford.edu/kundaje/oak/projects/neuro-variants/variant_position/credible/roussos_2024/variant_figures/roussos_2024.infant.GLU/rs2305551_count_position.png",4,220,900)</f>
        <v/>
      </c>
      <c r="T2694">
        <f>IMAGE("https://mitra.stanford.edu/kundaje/oak/projects/neuro-variants/variant_position/credible/roussos_2024/variant_figures/roussos_2024.infant.GLU/rs2305551_profile_position.png",4,220,900)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0.002972191976</v>
      </c>
      <c r="G2695" t="n">
        <v>0.6327582932754324</v>
      </c>
      <c r="H2695" t="n">
        <v>0.0221298226070235</v>
      </c>
      <c r="I2695" t="n">
        <v>0.1553761903539376</v>
      </c>
      <c r="J2695" t="n">
        <v>0.1000606274388764</v>
      </c>
      <c r="K2695" t="n">
        <v>0.2076792621244227</v>
      </c>
      <c r="L2695" t="b">
        <v>0</v>
      </c>
      <c r="M2695" t="b">
        <v>0</v>
      </c>
      <c r="N2695" t="inlineStr">
        <is>
          <t>alt</t>
        </is>
      </c>
      <c r="O2695" t="n">
        <v>-5</v>
      </c>
      <c r="P2695" t="n">
        <v>0.001373</v>
      </c>
      <c r="Q2695" t="n">
        <v>-100</v>
      </c>
      <c r="R2695" t="n">
        <v>0.279</v>
      </c>
      <c r="S2695">
        <f>IMAGE("https://mitra.stanford.edu/kundaje/oak/projects/neuro-variants/variant_position/credible/roussos_2024/variant_figures/roussos_2024.infant.GLU/rs9826261_count_position.png",4,220,900)</f>
        <v/>
      </c>
      <c r="T2695">
        <f>IMAGE("https://mitra.stanford.edu/kundaje/oak/projects/neuro-variants/variant_position/credible/roussos_2024/variant_figures/roussos_2024.infant.GLU/rs9826261_profile_position.png",4,220,900)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-0.010040267376</v>
      </c>
      <c r="G2696" t="n">
        <v>0.5107638486612317</v>
      </c>
      <c r="H2696" t="n">
        <v>0.0170510476430784</v>
      </c>
      <c r="I2696" t="n">
        <v>0.2726607750564001</v>
      </c>
      <c r="J2696" t="n">
        <v>0.0912961044114728</v>
      </c>
      <c r="K2696" t="n">
        <v>0.2245841391992164</v>
      </c>
      <c r="L2696" t="b">
        <v>0</v>
      </c>
      <c r="M2696" t="b">
        <v>0</v>
      </c>
      <c r="N2696" t="inlineStr">
        <is>
          <t>ref</t>
        </is>
      </c>
      <c r="O2696" t="n">
        <v>100</v>
      </c>
      <c r="P2696" t="n">
        <v>0.00856</v>
      </c>
      <c r="Q2696" t="n">
        <v>-20</v>
      </c>
      <c r="R2696" t="n">
        <v>0.077</v>
      </c>
      <c r="S2696">
        <f>IMAGE("https://mitra.stanford.edu/kundaje/oak/projects/neuro-variants/variant_position/credible/roussos_2024/variant_figures/roussos_2024.infant.GLU/rs9830118_count_position.png",4,220,900)</f>
        <v/>
      </c>
      <c r="T2696">
        <f>IMAGE("https://mitra.stanford.edu/kundaje/oak/projects/neuro-variants/variant_position/credible/roussos_2024/variant_figures/roussos_2024.infant.GLU/rs9830118_profile_position.png",4,220,900)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-0.0454331798</v>
      </c>
      <c r="G2697" t="n">
        <v>0.1918938827943933</v>
      </c>
      <c r="H2697" t="n">
        <v>0.008455814077482899</v>
      </c>
      <c r="I2697" t="n">
        <v>0.8666330562780692</v>
      </c>
      <c r="J2697" t="n">
        <v>0.008193522784893799</v>
      </c>
      <c r="K2697" t="n">
        <v>0.6921128151561939</v>
      </c>
      <c r="L2697" t="b">
        <v>0</v>
      </c>
      <c r="M2697" t="b">
        <v>0</v>
      </c>
      <c r="N2697" t="inlineStr">
        <is>
          <t>ref</t>
        </is>
      </c>
      <c r="O2697" t="n">
        <v>-100</v>
      </c>
      <c r="P2697" t="n">
        <v>0.01083</v>
      </c>
      <c r="Q2697" t="n">
        <v>85</v>
      </c>
      <c r="R2697" t="n">
        <v>0.001673</v>
      </c>
      <c r="S2697">
        <f>IMAGE("https://mitra.stanford.edu/kundaje/oak/projects/neuro-variants/variant_position/credible/roussos_2024/variant_figures/roussos_2024.infant.GLU/rs11928715_count_position.png",4,220,900)</f>
        <v/>
      </c>
      <c r="T2697">
        <f>IMAGE("https://mitra.stanford.edu/kundaje/oak/projects/neuro-variants/variant_position/credible/roussos_2024/variant_figures/roussos_2024.infant.GLU/rs11928715_profile_position.png",4,220,900)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-0.0238681314</v>
      </c>
      <c r="G2698" t="n">
        <v>0.3932653822138086</v>
      </c>
      <c r="H2698" t="n">
        <v>0.0327907683720513</v>
      </c>
      <c r="I2698" t="n">
        <v>0.0425151579848888</v>
      </c>
      <c r="J2698" t="n">
        <v>0.0141636720386251</v>
      </c>
      <c r="K2698" t="n">
        <v>0.60010320693346</v>
      </c>
      <c r="L2698" t="b">
        <v>0</v>
      </c>
      <c r="M2698" t="b">
        <v>0</v>
      </c>
      <c r="N2698" t="inlineStr">
        <is>
          <t>ref</t>
        </is>
      </c>
      <c r="O2698" t="n">
        <v>-60</v>
      </c>
      <c r="P2698" t="n">
        <v>0.02475</v>
      </c>
      <c r="Q2698" t="n">
        <v>40</v>
      </c>
      <c r="R2698" t="n">
        <v>0.008999999999999999</v>
      </c>
      <c r="S2698">
        <f>IMAGE("https://mitra.stanford.edu/kundaje/oak/projects/neuro-variants/variant_position/credible/roussos_2024/variant_figures/roussos_2024.infant.GLU/rs11917405_count_position.png",4,220,900)</f>
        <v/>
      </c>
      <c r="T2698">
        <f>IMAGE("https://mitra.stanford.edu/kundaje/oak/projects/neuro-variants/variant_position/credible/roussos_2024/variant_figures/roussos_2024.infant.GLU/rs11917405_profile_position.png",4,220,900)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0.04501862734</v>
      </c>
      <c r="G2699" t="n">
        <v>0.2119879373470138</v>
      </c>
      <c r="H2699" t="n">
        <v>0.0134448167443343</v>
      </c>
      <c r="I2699" t="n">
        <v>0.4594522479974553</v>
      </c>
      <c r="J2699" t="n">
        <v>0.043909698185586</v>
      </c>
      <c r="K2699" t="n">
        <v>0.3696772979742903</v>
      </c>
      <c r="L2699" t="b">
        <v>0</v>
      </c>
      <c r="M2699" t="b">
        <v>0</v>
      </c>
      <c r="N2699" t="inlineStr">
        <is>
          <t>alt</t>
        </is>
      </c>
      <c r="O2699" t="n">
        <v>95</v>
      </c>
      <c r="P2699" t="n">
        <v>0.0863</v>
      </c>
      <c r="Q2699" t="n">
        <v>-70</v>
      </c>
      <c r="R2699" t="n">
        <v>0.07770000000000001</v>
      </c>
      <c r="S2699">
        <f>IMAGE("https://mitra.stanford.edu/kundaje/oak/projects/neuro-variants/variant_position/credible/roussos_2024/variant_figures/roussos_2024.infant.GLU/rs11921090_count_position.png",4,220,900)</f>
        <v/>
      </c>
      <c r="T2699">
        <f>IMAGE("https://mitra.stanford.edu/kundaje/oak/projects/neuro-variants/variant_position/credible/roussos_2024/variant_figures/roussos_2024.infant.GLU/rs11921090_profile_position.png",4,220,900)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-0.0024552604</v>
      </c>
      <c r="G2700" t="n">
        <v>0.3540395674134508</v>
      </c>
      <c r="H2700" t="n">
        <v>0.0110376337158473</v>
      </c>
      <c r="I2700" t="n">
        <v>0.6434755294688004</v>
      </c>
      <c r="J2700" t="n">
        <v>0.2138307722833395</v>
      </c>
      <c r="K2700" t="n">
        <v>0.1011161641100261</v>
      </c>
      <c r="L2700" t="b">
        <v>0</v>
      </c>
      <c r="M2700" t="b">
        <v>0</v>
      </c>
      <c r="N2700" t="inlineStr">
        <is>
          <t>ref</t>
        </is>
      </c>
      <c r="O2700" t="n">
        <v>-100</v>
      </c>
      <c r="P2700" t="n">
        <v>0.0757</v>
      </c>
      <c r="Q2700" t="n">
        <v>-85</v>
      </c>
      <c r="R2700" t="n">
        <v>0.1128</v>
      </c>
      <c r="S2700">
        <f>IMAGE("https://mitra.stanford.edu/kundaje/oak/projects/neuro-variants/variant_position/credible/roussos_2024/variant_figures/roussos_2024.infant.GLU/rs17829242_count_position.png",4,220,900)</f>
        <v/>
      </c>
      <c r="T2700">
        <f>IMAGE("https://mitra.stanford.edu/kundaje/oak/projects/neuro-variants/variant_position/credible/roussos_2024/variant_figures/roussos_2024.infant.GLU/rs17829242_profile_position.png",4,220,900)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-0.04136969814</v>
      </c>
      <c r="G2701" t="n">
        <v>0.2397537178020781</v>
      </c>
      <c r="H2701" t="n">
        <v>0.0154123672695511</v>
      </c>
      <c r="I2701" t="n">
        <v>0.3424972594222341</v>
      </c>
      <c r="J2701" t="n">
        <v>0.0221686986044665</v>
      </c>
      <c r="K2701" t="n">
        <v>0.513287608047448</v>
      </c>
      <c r="L2701" t="b">
        <v>0</v>
      </c>
      <c r="M2701" t="b">
        <v>0</v>
      </c>
      <c r="N2701" t="inlineStr">
        <is>
          <t>ref</t>
        </is>
      </c>
      <c r="O2701" t="n">
        <v>10</v>
      </c>
      <c r="P2701" t="n">
        <v>7.63e-05</v>
      </c>
      <c r="Q2701" t="n">
        <v>100</v>
      </c>
      <c r="R2701" t="n">
        <v>0.05298</v>
      </c>
      <c r="S2701">
        <f>IMAGE("https://mitra.stanford.edu/kundaje/oak/projects/neuro-variants/variant_position/credible/roussos_2024/variant_figures/roussos_2024.infant.GLU/rs28377152_count_position.png",4,220,900)</f>
        <v/>
      </c>
      <c r="T2701">
        <f>IMAGE("https://mitra.stanford.edu/kundaje/oak/projects/neuro-variants/variant_position/credible/roussos_2024/variant_figures/roussos_2024.infant.GLU/rs28377152_profile_position.png",4,220,900)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-0.085842299</v>
      </c>
      <c r="G2702" t="n">
        <v>0.069810161674523</v>
      </c>
      <c r="H2702" t="n">
        <v>0.0160520713490332</v>
      </c>
      <c r="I2702" t="n">
        <v>0.3130176755929859</v>
      </c>
      <c r="J2702" t="n">
        <v>0.0600432108291628</v>
      </c>
      <c r="K2702" t="n">
        <v>0.3022607721248938</v>
      </c>
      <c r="L2702" t="b">
        <v>0</v>
      </c>
      <c r="M2702" t="b">
        <v>0</v>
      </c>
      <c r="N2702" t="inlineStr">
        <is>
          <t>ref</t>
        </is>
      </c>
      <c r="O2702" t="n">
        <v>40</v>
      </c>
      <c r="P2702" t="n">
        <v>0.1473</v>
      </c>
      <c r="Q2702" t="n">
        <v>-45</v>
      </c>
      <c r="R2702" t="n">
        <v>0.09719999999999999</v>
      </c>
      <c r="S2702">
        <f>IMAGE("https://mitra.stanford.edu/kundaje/oak/projects/neuro-variants/variant_position/credible/roussos_2024/variant_figures/roussos_2024.infant.GLU/rs11917750_count_position.png",4,220,900)</f>
        <v/>
      </c>
      <c r="T2702">
        <f>IMAGE("https://mitra.stanford.edu/kundaje/oak/projects/neuro-variants/variant_position/credible/roussos_2024/variant_figures/roussos_2024.infant.GLU/rs11917750_profile_position.png",4,220,900)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-0.0416511568</v>
      </c>
      <c r="G2703" t="n">
        <v>0.2257131470216644</v>
      </c>
      <c r="H2703" t="n">
        <v>0.0322481141644973</v>
      </c>
      <c r="I2703" t="n">
        <v>0.0452272594165509</v>
      </c>
      <c r="J2703" t="n">
        <v>0.0540499129169513</v>
      </c>
      <c r="K2703" t="n">
        <v>0.324221021881647</v>
      </c>
      <c r="L2703" t="b">
        <v>0</v>
      </c>
      <c r="M2703" t="b">
        <v>0</v>
      </c>
      <c r="N2703" t="inlineStr">
        <is>
          <t>ref</t>
        </is>
      </c>
      <c r="O2703" t="n">
        <v>-60</v>
      </c>
      <c r="P2703" t="n">
        <v>0.01544</v>
      </c>
      <c r="Q2703" t="n">
        <v>-50</v>
      </c>
      <c r="R2703" t="n">
        <v>0.01605</v>
      </c>
      <c r="S2703">
        <f>IMAGE("https://mitra.stanford.edu/kundaje/oak/projects/neuro-variants/variant_position/credible/roussos_2024/variant_figures/roussos_2024.infant.GLU/rs723271_count_position.png",4,220,900)</f>
        <v/>
      </c>
      <c r="T2703">
        <f>IMAGE("https://mitra.stanford.edu/kundaje/oak/projects/neuro-variants/variant_position/credible/roussos_2024/variant_figures/roussos_2024.infant.GLU/rs723271_profile_position.png",4,220,900)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-0.00960300146</v>
      </c>
      <c r="G2704" t="n">
        <v>0.4910949613268616</v>
      </c>
      <c r="H2704" t="n">
        <v>0.0287691485324337</v>
      </c>
      <c r="I2704" t="n">
        <v>0.0670254055327936</v>
      </c>
      <c r="J2704" t="n">
        <v>0.0122235939945765</v>
      </c>
      <c r="K2704" t="n">
        <v>0.6315760129569393</v>
      </c>
      <c r="L2704" t="b">
        <v>0</v>
      </c>
      <c r="M2704" t="b">
        <v>0</v>
      </c>
      <c r="N2704" t="inlineStr">
        <is>
          <t>ref</t>
        </is>
      </c>
      <c r="O2704" t="n">
        <v>-50</v>
      </c>
      <c r="P2704" t="n">
        <v>0.00844</v>
      </c>
      <c r="Q2704" t="n">
        <v>-100</v>
      </c>
      <c r="R2704" t="n">
        <v>0.0974</v>
      </c>
      <c r="S2704">
        <f>IMAGE("https://mitra.stanford.edu/kundaje/oak/projects/neuro-variants/variant_position/credible/roussos_2024/variant_figures/roussos_2024.infant.GLU/rs7610003_count_position.png",4,220,900)</f>
        <v/>
      </c>
      <c r="T2704">
        <f>IMAGE("https://mitra.stanford.edu/kundaje/oak/projects/neuro-variants/variant_position/credible/roussos_2024/variant_figures/roussos_2024.infant.GLU/rs7610003_profile_position.png",4,220,900)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0.00215530068</v>
      </c>
      <c r="G2705" t="n">
        <v>0.8142338636867966</v>
      </c>
      <c r="H2705" t="n">
        <v>0.0131990270179944</v>
      </c>
      <c r="I2705" t="n">
        <v>0.4698136365863299</v>
      </c>
      <c r="J2705" t="n">
        <v>0.0071672655922749</v>
      </c>
      <c r="K2705" t="n">
        <v>0.7187423096249552</v>
      </c>
      <c r="L2705" t="b">
        <v>0</v>
      </c>
      <c r="M2705" t="b">
        <v>0</v>
      </c>
      <c r="N2705" t="inlineStr">
        <is>
          <t>alt</t>
        </is>
      </c>
      <c r="O2705" t="n">
        <v>-90</v>
      </c>
      <c r="P2705" t="n">
        <v>0.00569</v>
      </c>
      <c r="Q2705" t="n">
        <v>-90</v>
      </c>
      <c r="R2705" t="n">
        <v>0.052</v>
      </c>
      <c r="S2705">
        <f>IMAGE("https://mitra.stanford.edu/kundaje/oak/projects/neuro-variants/variant_position/credible/roussos_2024/variant_figures/roussos_2024.infant.GLU/rs7632036_count_position.png",4,220,900)</f>
        <v/>
      </c>
      <c r="T2705">
        <f>IMAGE("https://mitra.stanford.edu/kundaje/oak/projects/neuro-variants/variant_position/credible/roussos_2024/variant_figures/roussos_2024.infant.GLU/rs7632036_profile_position.png",4,220,900)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0.0205457717999999</v>
      </c>
      <c r="G2706" t="n">
        <v>0.4310760089771794</v>
      </c>
      <c r="H2706" t="n">
        <v>0.033173195918209</v>
      </c>
      <c r="I2706" t="n">
        <v>0.0412151235998458</v>
      </c>
      <c r="J2706" t="n">
        <v>0.2076754337617672</v>
      </c>
      <c r="K2706" t="n">
        <v>0.1080321532039662</v>
      </c>
      <c r="L2706" t="b">
        <v>0</v>
      </c>
      <c r="M2706" t="b">
        <v>0</v>
      </c>
      <c r="N2706" t="inlineStr">
        <is>
          <t>alt</t>
        </is>
      </c>
      <c r="O2706" t="n">
        <v>100</v>
      </c>
      <c r="P2706" t="n">
        <v>0.0206</v>
      </c>
      <c r="Q2706" t="n">
        <v>100</v>
      </c>
      <c r="R2706" t="n">
        <v>0.094</v>
      </c>
      <c r="S2706">
        <f>IMAGE("https://mitra.stanford.edu/kundaje/oak/projects/neuro-variants/variant_position/credible/roussos_2024/variant_figures/roussos_2024.infant.GLU/rs11915212_count_position.png",4,220,900)</f>
        <v/>
      </c>
      <c r="T2706">
        <f>IMAGE("https://mitra.stanford.edu/kundaje/oak/projects/neuro-variants/variant_position/credible/roussos_2024/variant_figures/roussos_2024.infant.GLU/rs11915212_profile_position.png",4,220,900)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0.0202290879</v>
      </c>
      <c r="G2707" t="n">
        <v>0.4489424303987354</v>
      </c>
      <c r="H2707" t="n">
        <v>0.0443707460138239</v>
      </c>
      <c r="I2707" t="n">
        <v>0.0130827075792396</v>
      </c>
      <c r="J2707" t="n">
        <v>0.3216649397032562</v>
      </c>
      <c r="K2707" t="n">
        <v>0.0636847017369568</v>
      </c>
      <c r="L2707" t="b">
        <v>1</v>
      </c>
      <c r="M2707" t="b">
        <v>0</v>
      </c>
      <c r="N2707" t="inlineStr">
        <is>
          <t>alt</t>
        </is>
      </c>
      <c r="O2707" t="n">
        <v>0</v>
      </c>
      <c r="P2707" t="n">
        <v>0</v>
      </c>
      <c r="Q2707" t="n">
        <v>-25</v>
      </c>
      <c r="R2707" t="n">
        <v>0.042</v>
      </c>
      <c r="S2707">
        <f>IMAGE("https://mitra.stanford.edu/kundaje/oak/projects/neuro-variants/variant_position/credible/roussos_2024/variant_figures/roussos_2024.infant.GLU/rs11915231_count_position.png",4,220,900)</f>
        <v/>
      </c>
      <c r="T2707">
        <f>IMAGE("https://mitra.stanford.edu/kundaje/oak/projects/neuro-variants/variant_position/credible/roussos_2024/variant_figures/roussos_2024.infant.GLU/rs11915231_profile_position.png",4,220,900)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-0.231047308</v>
      </c>
      <c r="G2708" t="n">
        <v>0.0071675786146624</v>
      </c>
      <c r="H2708" t="n">
        <v>0.0590145585089384</v>
      </c>
      <c r="I2708" t="n">
        <v>0.0037593368708484</v>
      </c>
      <c r="J2708" t="n">
        <v>0.6908650984369145</v>
      </c>
      <c r="K2708" t="n">
        <v>0.0146257849779821</v>
      </c>
      <c r="L2708" t="b">
        <v>1</v>
      </c>
      <c r="M2708" t="b">
        <v>1</v>
      </c>
      <c r="N2708" t="inlineStr">
        <is>
          <t>ref</t>
        </is>
      </c>
      <c r="O2708" t="n">
        <v>50</v>
      </c>
      <c r="P2708" t="n">
        <v>0.001831</v>
      </c>
      <c r="Q2708" t="n">
        <v>-5</v>
      </c>
      <c r="R2708" t="n">
        <v>0.001465</v>
      </c>
      <c r="S2708">
        <f>IMAGE("https://mitra.stanford.edu/kundaje/oak/projects/neuro-variants/variant_position/credible/roussos_2024/variant_figures/roussos_2024.infant.GLU/rs9818755_count_position.png",4,220,900)</f>
        <v/>
      </c>
      <c r="T2708">
        <f>IMAGE("https://mitra.stanford.edu/kundaje/oak/projects/neuro-variants/variant_position/credible/roussos_2024/variant_figures/roussos_2024.infant.GLU/rs9818755_profile_position.png",4,220,900)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-0.00470142988</v>
      </c>
      <c r="G2709" t="n">
        <v>0.7779531945535195</v>
      </c>
      <c r="H2709" t="n">
        <v>0.0166769724571202</v>
      </c>
      <c r="I2709" t="n">
        <v>0.2842462299366276</v>
      </c>
      <c r="J2709" t="n">
        <v>0.2148989175246367</v>
      </c>
      <c r="K2709" t="n">
        <v>0.1000804505706602</v>
      </c>
      <c r="L2709" t="b">
        <v>0</v>
      </c>
      <c r="M2709" t="b">
        <v>0</v>
      </c>
      <c r="N2709" t="inlineStr">
        <is>
          <t>ref</t>
        </is>
      </c>
      <c r="O2709" t="n">
        <v>-95</v>
      </c>
      <c r="P2709" t="n">
        <v>0.01416</v>
      </c>
      <c r="Q2709" t="n">
        <v>85</v>
      </c>
      <c r="R2709" t="n">
        <v>0.2437</v>
      </c>
      <c r="S2709">
        <f>IMAGE("https://mitra.stanford.edu/kundaje/oak/projects/neuro-variants/variant_position/credible/roussos_2024/variant_figures/roussos_2024.infant.GLU/rs7647452_count_position.png",4,220,900)</f>
        <v/>
      </c>
      <c r="T2709">
        <f>IMAGE("https://mitra.stanford.edu/kundaje/oak/projects/neuro-variants/variant_position/credible/roussos_2024/variant_figures/roussos_2024.infant.GLU/rs7647452_profile_position.png",4,220,900)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0.1005337604</v>
      </c>
      <c r="G2710" t="n">
        <v>0.0494962237238476</v>
      </c>
      <c r="H2710" t="n">
        <v>0.041156141408559</v>
      </c>
      <c r="I2710" t="n">
        <v>0.0179167983296321</v>
      </c>
      <c r="J2710" t="n">
        <v>0.056481624374435</v>
      </c>
      <c r="K2710" t="n">
        <v>0.3200227462770228</v>
      </c>
      <c r="L2710" t="b">
        <v>1</v>
      </c>
      <c r="M2710" t="b">
        <v>0</v>
      </c>
      <c r="N2710" t="inlineStr">
        <is>
          <t>alt</t>
        </is>
      </c>
      <c r="O2710" t="n">
        <v>75</v>
      </c>
      <c r="P2710" t="n">
        <v>0.01047</v>
      </c>
      <c r="Q2710" t="n">
        <v>35</v>
      </c>
      <c r="R2710" t="n">
        <v>0.08984</v>
      </c>
      <c r="S2710">
        <f>IMAGE("https://mitra.stanford.edu/kundaje/oak/projects/neuro-variants/variant_position/credible/roussos_2024/variant_figures/roussos_2024.infant.GLU/rs17829536_count_position.png",4,220,900)</f>
        <v/>
      </c>
      <c r="T2710">
        <f>IMAGE("https://mitra.stanford.edu/kundaje/oak/projects/neuro-variants/variant_position/credible/roussos_2024/variant_figures/roussos_2024.infant.GLU/rs17829536_profile_position.png",4,220,900)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-0.1242413771999999</v>
      </c>
      <c r="G2711" t="n">
        <v>0.0339230286623607</v>
      </c>
      <c r="H2711" t="n">
        <v>0.0260545834325723</v>
      </c>
      <c r="I2711" t="n">
        <v>0.0899312242140103</v>
      </c>
      <c r="J2711" t="n">
        <v>0.0723461716528141</v>
      </c>
      <c r="K2711" t="n">
        <v>0.2640451553895985</v>
      </c>
      <c r="L2711" t="b">
        <v>0</v>
      </c>
      <c r="M2711" t="b">
        <v>0</v>
      </c>
      <c r="N2711" t="inlineStr">
        <is>
          <t>ref</t>
        </is>
      </c>
      <c r="O2711" t="n">
        <v>100</v>
      </c>
      <c r="P2711" t="n">
        <v>0.05942</v>
      </c>
      <c r="Q2711" t="n">
        <v>50</v>
      </c>
      <c r="R2711" t="n">
        <v>0.0664</v>
      </c>
      <c r="S2711">
        <f>IMAGE("https://mitra.stanford.edu/kundaje/oak/projects/neuro-variants/variant_position/credible/roussos_2024/variant_figures/roussos_2024.infant.GLU/rs10514752_count_position.png",4,220,900)</f>
        <v/>
      </c>
      <c r="T2711">
        <f>IMAGE("https://mitra.stanford.edu/kundaje/oak/projects/neuro-variants/variant_position/credible/roussos_2024/variant_figures/roussos_2024.infant.GLU/rs10514752_profile_position.png",4,220,900)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0.123394955</v>
      </c>
      <c r="G2712" t="n">
        <v>0.0334350041261901</v>
      </c>
      <c r="H2712" t="n">
        <v>0.0160020768805077</v>
      </c>
      <c r="I2712" t="n">
        <v>0.3141200165960019</v>
      </c>
      <c r="J2712" t="n">
        <v>0.4573326131528473</v>
      </c>
      <c r="K2712" t="n">
        <v>0.0365618929862191</v>
      </c>
      <c r="L2712" t="b">
        <v>0</v>
      </c>
      <c r="M2712" t="b">
        <v>0</v>
      </c>
      <c r="N2712" t="inlineStr">
        <is>
          <t>alt</t>
        </is>
      </c>
      <c r="O2712" t="n">
        <v>-95</v>
      </c>
      <c r="P2712" t="n">
        <v>0.01859</v>
      </c>
      <c r="Q2712" t="n">
        <v>-40</v>
      </c>
      <c r="R2712" t="n">
        <v>0.09080000000000001</v>
      </c>
      <c r="S2712">
        <f>IMAGE("https://mitra.stanford.edu/kundaje/oak/projects/neuro-variants/variant_position/credible/roussos_2024/variant_figures/roussos_2024.infant.GLU/rs72933710_count_position.png",4,220,900)</f>
        <v/>
      </c>
      <c r="T2712">
        <f>IMAGE("https://mitra.stanford.edu/kundaje/oak/projects/neuro-variants/variant_position/credible/roussos_2024/variant_figures/roussos_2024.infant.GLU/rs72933710_profile_position.png",4,220,900)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0.02098745974</v>
      </c>
      <c r="G2713" t="n">
        <v>0.3950746964525172</v>
      </c>
      <c r="H2713" t="n">
        <v>0.0111964745598815</v>
      </c>
      <c r="I2713" t="n">
        <v>0.6273531163191075</v>
      </c>
      <c r="J2713" t="n">
        <v>0.0947331290372362</v>
      </c>
      <c r="K2713" t="n">
        <v>0.2244069238667645</v>
      </c>
      <c r="L2713" t="b">
        <v>0</v>
      </c>
      <c r="M2713" t="b">
        <v>0</v>
      </c>
      <c r="N2713" t="inlineStr">
        <is>
          <t>alt</t>
        </is>
      </c>
      <c r="O2713" t="n">
        <v>-35</v>
      </c>
      <c r="P2713" t="n">
        <v>0.1106</v>
      </c>
      <c r="Q2713" t="n">
        <v>100</v>
      </c>
      <c r="R2713" t="n">
        <v>0.10913</v>
      </c>
      <c r="S2713">
        <f>IMAGE("https://mitra.stanford.edu/kundaje/oak/projects/neuro-variants/variant_position/credible/roussos_2024/variant_figures/roussos_2024.infant.GLU/rs13433942_count_position.png",4,220,900)</f>
        <v/>
      </c>
      <c r="T2713">
        <f>IMAGE("https://mitra.stanford.edu/kundaje/oak/projects/neuro-variants/variant_position/credible/roussos_2024/variant_figures/roussos_2024.infant.GLU/rs13433942_profile_position.png",4,220,900)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0.00387238476</v>
      </c>
      <c r="G2714" t="n">
        <v>0.7222587245264875</v>
      </c>
      <c r="H2714" t="n">
        <v>0.0357436896153518</v>
      </c>
      <c r="I2714" t="n">
        <v>0.0313756450402962</v>
      </c>
      <c r="J2714" t="n">
        <v>0.0390352520999139</v>
      </c>
      <c r="K2714" t="n">
        <v>0.3955449476004444</v>
      </c>
      <c r="L2714" t="b">
        <v>0</v>
      </c>
      <c r="M2714" t="b">
        <v>0</v>
      </c>
      <c r="N2714" t="inlineStr">
        <is>
          <t>alt</t>
        </is>
      </c>
      <c r="O2714" t="n">
        <v>100</v>
      </c>
      <c r="P2714" t="n">
        <v>0.01892</v>
      </c>
      <c r="Q2714" t="n">
        <v>-20</v>
      </c>
      <c r="R2714" t="n">
        <v>0.01846</v>
      </c>
      <c r="S2714">
        <f>IMAGE("https://mitra.stanford.edu/kundaje/oak/projects/neuro-variants/variant_position/credible/roussos_2024/variant_figures/roussos_2024.infant.GLU/rs9816413_count_position.png",4,220,900)</f>
        <v/>
      </c>
      <c r="T2714">
        <f>IMAGE("https://mitra.stanford.edu/kundaje/oak/projects/neuro-variants/variant_position/credible/roussos_2024/variant_figures/roussos_2024.infant.GLU/rs9816413_profile_position.png",4,220,900)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-0.032897269</v>
      </c>
      <c r="G2715" t="n">
        <v>0.2892135677271469</v>
      </c>
      <c r="H2715" t="n">
        <v>0.0068459924000211</v>
      </c>
      <c r="I2715" t="n">
        <v>0.961712450712506</v>
      </c>
      <c r="J2715" t="n">
        <v>0.0458310368394364</v>
      </c>
      <c r="K2715" t="n">
        <v>0.3630637373865689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0.07920000000000001</v>
      </c>
      <c r="Q2715" t="n">
        <v>100</v>
      </c>
      <c r="R2715" t="n">
        <v>0.1571</v>
      </c>
      <c r="S2715">
        <f>IMAGE("https://mitra.stanford.edu/kundaje/oak/projects/neuro-variants/variant_position/credible/roussos_2024/variant_figures/roussos_2024.infant.GLU/rs17239988_count_position.png",4,220,900)</f>
        <v/>
      </c>
      <c r="T2715">
        <f>IMAGE("https://mitra.stanford.edu/kundaje/oak/projects/neuro-variants/variant_position/credible/roussos_2024/variant_figures/roussos_2024.infant.GLU/rs17239988_profile_position.png",4,220,900)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0.06414696459999999</v>
      </c>
      <c r="G2716" t="n">
        <v>0.1110185382949999</v>
      </c>
      <c r="H2716" t="n">
        <v>0.0117966513765647</v>
      </c>
      <c r="I2716" t="n">
        <v>0.5762390966582913</v>
      </c>
      <c r="J2716" t="n">
        <v>0.0123702021649506</v>
      </c>
      <c r="K2716" t="n">
        <v>0.6338071370413205</v>
      </c>
      <c r="L2716" t="b">
        <v>0</v>
      </c>
      <c r="M2716" t="b">
        <v>0</v>
      </c>
      <c r="N2716" t="inlineStr">
        <is>
          <t>alt</t>
        </is>
      </c>
      <c r="O2716" t="n">
        <v>80</v>
      </c>
      <c r="P2716" t="n">
        <v>0.0067</v>
      </c>
      <c r="Q2716" t="n">
        <v>-30</v>
      </c>
      <c r="R2716" t="n">
        <v>0.03284</v>
      </c>
      <c r="S2716">
        <f>IMAGE("https://mitra.stanford.edu/kundaje/oak/projects/neuro-variants/variant_position/credible/roussos_2024/variant_figures/roussos_2024.infant.GLU/rs9859939_count_position.png",4,220,900)</f>
        <v/>
      </c>
      <c r="T2716">
        <f>IMAGE("https://mitra.stanford.edu/kundaje/oak/projects/neuro-variants/variant_position/credible/roussos_2024/variant_figures/roussos_2024.infant.GLU/rs9859939_profile_position.png",4,220,900)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0.11606172</v>
      </c>
      <c r="G2717" t="n">
        <v>0.0391579875713515</v>
      </c>
      <c r="H2717" t="n">
        <v>0.0191091003992961</v>
      </c>
      <c r="I2717" t="n">
        <v>0.2064979397061894</v>
      </c>
      <c r="J2717" t="n">
        <v>0.1046407548667297</v>
      </c>
      <c r="K2717" t="n">
        <v>0.2112552476673726</v>
      </c>
      <c r="L2717" t="b">
        <v>0</v>
      </c>
      <c r="M2717" t="b">
        <v>0</v>
      </c>
      <c r="N2717" t="inlineStr">
        <is>
          <t>alt</t>
        </is>
      </c>
      <c r="O2717" t="n">
        <v>35</v>
      </c>
      <c r="P2717" t="n">
        <v>0.00946</v>
      </c>
      <c r="Q2717" t="n">
        <v>-90</v>
      </c>
      <c r="R2717" t="n">
        <v>0.04736</v>
      </c>
      <c r="S2717">
        <f>IMAGE("https://mitra.stanford.edu/kundaje/oak/projects/neuro-variants/variant_position/credible/roussos_2024/variant_figures/roussos_2024.infant.GLU/rs13323116_count_position.png",4,220,900)</f>
        <v/>
      </c>
      <c r="T2717">
        <f>IMAGE("https://mitra.stanford.edu/kundaje/oak/projects/neuro-variants/variant_position/credible/roussos_2024/variant_figures/roussos_2024.infant.GLU/rs13323116_profile_position.png",4,220,900)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-0.19571987</v>
      </c>
      <c r="G2718" t="n">
        <v>0.0119823042601131</v>
      </c>
      <c r="H2718" t="n">
        <v>0.0303659363427687</v>
      </c>
      <c r="I2718" t="n">
        <v>0.0590037158266001</v>
      </c>
      <c r="J2718" t="n">
        <v>0.0851793469873674</v>
      </c>
      <c r="K2718" t="n">
        <v>0.2373862924250463</v>
      </c>
      <c r="L2718" t="b">
        <v>1</v>
      </c>
      <c r="M2718" t="b">
        <v>0</v>
      </c>
      <c r="N2718" t="inlineStr">
        <is>
          <t>ref</t>
        </is>
      </c>
      <c r="O2718" t="n">
        <v>-100</v>
      </c>
      <c r="P2718" t="n">
        <v>0.02467</v>
      </c>
      <c r="Q2718" t="n">
        <v>35</v>
      </c>
      <c r="R2718" t="n">
        <v>0.02454</v>
      </c>
      <c r="S2718">
        <f>IMAGE("https://mitra.stanford.edu/kundaje/oak/projects/neuro-variants/variant_position/credible/roussos_2024/variant_figures/roussos_2024.infant.GLU/rs9868740_count_position.png",4,220,900)</f>
        <v/>
      </c>
      <c r="T2718">
        <f>IMAGE("https://mitra.stanford.edu/kundaje/oak/projects/neuro-variants/variant_position/credible/roussos_2024/variant_figures/roussos_2024.infant.GLU/rs9868740_profile_position.png",4,220,900)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0.09621006360000001</v>
      </c>
      <c r="G2719" t="n">
        <v>0.0571157379674619</v>
      </c>
      <c r="H2719" t="n">
        <v>0.022196446335925</v>
      </c>
      <c r="I2719" t="n">
        <v>0.1415930491394586</v>
      </c>
      <c r="J2719" t="n">
        <v>0.0423752728234749</v>
      </c>
      <c r="K2719" t="n">
        <v>0.3838015194690108</v>
      </c>
      <c r="L2719" t="b">
        <v>0</v>
      </c>
      <c r="M2719" t="b">
        <v>0</v>
      </c>
      <c r="N2719" t="inlineStr">
        <is>
          <t>alt</t>
        </is>
      </c>
      <c r="O2719" t="n">
        <v>-85</v>
      </c>
      <c r="P2719" t="n">
        <v>0.12054</v>
      </c>
      <c r="Q2719" t="n">
        <v>-30</v>
      </c>
      <c r="R2719" t="n">
        <v>0.02527</v>
      </c>
      <c r="S2719">
        <f>IMAGE("https://mitra.stanford.edu/kundaje/oak/projects/neuro-variants/variant_position/credible/roussos_2024/variant_figures/roussos_2024.infant.GLU/rs9863548_count_position.png",4,220,900)</f>
        <v/>
      </c>
      <c r="T2719">
        <f>IMAGE("https://mitra.stanford.edu/kundaje/oak/projects/neuro-variants/variant_position/credible/roussos_2024/variant_figures/roussos_2024.infant.GLU/rs9863548_profile_position.png",4,220,900)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-0.01099083836</v>
      </c>
      <c r="G2720" t="n">
        <v>0.5880543351132417</v>
      </c>
      <c r="H2720" t="n">
        <v>0.0149451338450631</v>
      </c>
      <c r="I2720" t="n">
        <v>0.3636428574229034</v>
      </c>
      <c r="J2720" t="n">
        <v>0.0045051698670605</v>
      </c>
      <c r="K2720" t="n">
        <v>0.7846040622990197</v>
      </c>
      <c r="L2720" t="b">
        <v>0</v>
      </c>
      <c r="M2720" t="b">
        <v>0</v>
      </c>
      <c r="N2720" t="inlineStr">
        <is>
          <t>ref</t>
        </is>
      </c>
      <c r="O2720" t="n">
        <v>10</v>
      </c>
      <c r="P2720" t="n">
        <v>0.00401</v>
      </c>
      <c r="Q2720" t="n">
        <v>100</v>
      </c>
      <c r="R2720" t="n">
        <v>0.0732</v>
      </c>
      <c r="S2720">
        <f>IMAGE("https://mitra.stanford.edu/kundaje/oak/projects/neuro-variants/variant_position/credible/roussos_2024/variant_figures/roussos_2024.infant.GLU/rs13318120_count_position.png",4,220,900)</f>
        <v/>
      </c>
      <c r="T2720">
        <f>IMAGE("https://mitra.stanford.edu/kundaje/oak/projects/neuro-variants/variant_position/credible/roussos_2024/variant_figures/roussos_2024.infant.GLU/rs13318120_profile_position.png",4,220,900)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0.00884913794</v>
      </c>
      <c r="G2721" t="n">
        <v>0.5907712974056362</v>
      </c>
      <c r="H2721" t="n">
        <v>0.0283481629746942</v>
      </c>
      <c r="I2721" t="n">
        <v>0.0689389572160572</v>
      </c>
      <c r="J2721" t="n">
        <v>0.11568376727882</v>
      </c>
      <c r="K2721" t="n">
        <v>0.1866977965165323</v>
      </c>
      <c r="L2721" t="b">
        <v>0</v>
      </c>
      <c r="M2721" t="b">
        <v>0</v>
      </c>
      <c r="N2721" t="inlineStr">
        <is>
          <t>alt</t>
        </is>
      </c>
      <c r="O2721" t="n">
        <v>100</v>
      </c>
      <c r="P2721" t="n">
        <v>0.3862</v>
      </c>
      <c r="Q2721" t="n">
        <v>95</v>
      </c>
      <c r="R2721" t="n">
        <v>0.2734</v>
      </c>
      <c r="S2721">
        <f>IMAGE("https://mitra.stanford.edu/kundaje/oak/projects/neuro-variants/variant_position/credible/roussos_2024/variant_figures/roussos_2024.infant.GLU/rs9875102_count_position.png",4,220,900)</f>
        <v/>
      </c>
      <c r="T2721">
        <f>IMAGE("https://mitra.stanford.edu/kundaje/oak/projects/neuro-variants/variant_position/credible/roussos_2024/variant_figures/roussos_2024.infant.GLU/rs9875102_profile_position.png",4,220,900)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0.329375654</v>
      </c>
      <c r="G2722" t="n">
        <v>0.0022526552882767</v>
      </c>
      <c r="H2722" t="n">
        <v>0.0550700343594907</v>
      </c>
      <c r="I2722" t="n">
        <v>0.0048892063547928</v>
      </c>
      <c r="J2722" t="n">
        <v>0.07351573006459571</v>
      </c>
      <c r="K2722" t="n">
        <v>0.2638251221157423</v>
      </c>
      <c r="L2722" t="b">
        <v>1</v>
      </c>
      <c r="M2722" t="b">
        <v>1</v>
      </c>
      <c r="N2722" t="inlineStr">
        <is>
          <t>alt</t>
        </is>
      </c>
      <c r="O2722" t="n">
        <v>90</v>
      </c>
      <c r="P2722" t="n">
        <v>0.03842</v>
      </c>
      <c r="Q2722" t="n">
        <v>65</v>
      </c>
      <c r="R2722" t="n">
        <v>0.1592</v>
      </c>
      <c r="S2722">
        <f>IMAGE("https://mitra.stanford.edu/kundaje/oak/projects/neuro-variants/variant_position/credible/roussos_2024/variant_figures/roussos_2024.infant.GLU/rs72933753_count_position.png",4,220,900)</f>
        <v/>
      </c>
      <c r="T2722">
        <f>IMAGE("https://mitra.stanford.edu/kundaje/oak/projects/neuro-variants/variant_position/credible/roussos_2024/variant_figures/roussos_2024.infant.GLU/rs72933753_profile_position.png",4,220,900)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-0.1948795499999999</v>
      </c>
      <c r="G2723" t="n">
        <v>0.0127243595972704</v>
      </c>
      <c r="H2723" t="n">
        <v>0.029405811995996</v>
      </c>
      <c r="I2723" t="n">
        <v>0.066061622418504</v>
      </c>
      <c r="J2723" t="n">
        <v>0.0372638285676491</v>
      </c>
      <c r="K2723" t="n">
        <v>0.4037730017682771</v>
      </c>
      <c r="L2723" t="b">
        <v>1</v>
      </c>
      <c r="M2723" t="b">
        <v>0</v>
      </c>
      <c r="N2723" t="inlineStr">
        <is>
          <t>ref</t>
        </is>
      </c>
      <c r="O2723" t="n">
        <v>-20</v>
      </c>
      <c r="P2723" t="n">
        <v>0.005844</v>
      </c>
      <c r="Q2723" t="n">
        <v>-85</v>
      </c>
      <c r="R2723" t="n">
        <v>0.06433</v>
      </c>
      <c r="S2723">
        <f>IMAGE("https://mitra.stanford.edu/kundaje/oak/projects/neuro-variants/variant_position/credible/roussos_2024/variant_figures/roussos_2024.infant.GLU/rs921582_count_position.png",4,220,900)</f>
        <v/>
      </c>
      <c r="T2723">
        <f>IMAGE("https://mitra.stanford.edu/kundaje/oak/projects/neuro-variants/variant_position/credible/roussos_2024/variant_figures/roussos_2024.infant.GLU/rs921582_profile_position.png",4,220,900)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0.0702930403999999</v>
      </c>
      <c r="G2724" t="n">
        <v>0.1006501609493383</v>
      </c>
      <c r="H2724" t="n">
        <v>0.0140073118416922</v>
      </c>
      <c r="I2724" t="n">
        <v>0.4214137812590129</v>
      </c>
      <c r="J2724" t="n">
        <v>0.6447276174518839</v>
      </c>
      <c r="K2724" t="n">
        <v>0.0179622637548462</v>
      </c>
      <c r="L2724" t="b">
        <v>0</v>
      </c>
      <c r="M2724" t="b">
        <v>0</v>
      </c>
      <c r="N2724" t="inlineStr">
        <is>
          <t>alt</t>
        </is>
      </c>
      <c r="O2724" t="n">
        <v>-85</v>
      </c>
      <c r="P2724" t="n">
        <v>0.01112</v>
      </c>
      <c r="Q2724" t="n">
        <v>-75</v>
      </c>
      <c r="R2724" t="n">
        <v>0.2051</v>
      </c>
      <c r="S2724">
        <f>IMAGE("https://mitra.stanford.edu/kundaje/oak/projects/neuro-variants/variant_position/credible/roussos_2024/variant_figures/roussos_2024.infant.GLU/rs1377275_count_position.png",4,220,900)</f>
        <v/>
      </c>
      <c r="T2724">
        <f>IMAGE("https://mitra.stanford.edu/kundaje/oak/projects/neuro-variants/variant_position/credible/roussos_2024/variant_figures/roussos_2024.infant.GLU/rs1377275_profile_position.png",4,220,900)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0.0729076726</v>
      </c>
      <c r="G2725" t="n">
        <v>0.08938019288944821</v>
      </c>
      <c r="H2725" t="n">
        <v>0.0120251804554698</v>
      </c>
      <c r="I2725" t="n">
        <v>0.5578703137506797</v>
      </c>
      <c r="J2725" t="n">
        <v>0.0001344826825988</v>
      </c>
      <c r="K2725" t="n">
        <v>0.9810010470206894</v>
      </c>
      <c r="L2725" t="b">
        <v>0</v>
      </c>
      <c r="M2725" t="b">
        <v>0</v>
      </c>
      <c r="N2725" t="inlineStr">
        <is>
          <t>alt</t>
        </is>
      </c>
      <c r="O2725" t="n">
        <v>100</v>
      </c>
      <c r="P2725" t="n">
        <v>0.01004</v>
      </c>
      <c r="Q2725" t="n">
        <v>40</v>
      </c>
      <c r="R2725" t="n">
        <v>0.010376</v>
      </c>
      <c r="S2725">
        <f>IMAGE("https://mitra.stanford.edu/kundaje/oak/projects/neuro-variants/variant_position/credible/roussos_2024/variant_figures/roussos_2024.infant.GLU/rs59142860_count_position.png",4,220,900)</f>
        <v/>
      </c>
      <c r="T2725">
        <f>IMAGE("https://mitra.stanford.edu/kundaje/oak/projects/neuro-variants/variant_position/credible/roussos_2024/variant_figures/roussos_2024.infant.GLU/rs59142860_profile_position.png",4,220,900)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0.020061797</v>
      </c>
      <c r="G2726" t="n">
        <v>0.4306960660170131</v>
      </c>
      <c r="H2726" t="n">
        <v>0.051538509392736</v>
      </c>
      <c r="I2726" t="n">
        <v>0.0065894125501907</v>
      </c>
      <c r="J2726" t="n">
        <v>0.001849688044269</v>
      </c>
      <c r="K2726" t="n">
        <v>0.8485069071101379</v>
      </c>
      <c r="L2726" t="b">
        <v>0</v>
      </c>
      <c r="M2726" t="b">
        <v>0</v>
      </c>
      <c r="N2726" t="inlineStr">
        <is>
          <t>alt</t>
        </is>
      </c>
      <c r="O2726" t="n">
        <v>65</v>
      </c>
      <c r="P2726" t="n">
        <v>0.001709</v>
      </c>
      <c r="Q2726" t="n">
        <v>90</v>
      </c>
      <c r="R2726" t="n">
        <v>0.00821</v>
      </c>
      <c r="S2726">
        <f>IMAGE("https://mitra.stanford.edu/kundaje/oak/projects/neuro-variants/variant_position/credible/roussos_2024/variant_figures/roussos_2024.infant.GLU/rs72933787_count_position.png",4,220,900)</f>
        <v/>
      </c>
      <c r="T2726">
        <f>IMAGE("https://mitra.stanford.edu/kundaje/oak/projects/neuro-variants/variant_position/credible/roussos_2024/variant_figures/roussos_2024.infant.GLU/rs72933787_profile_position.png",4,220,900)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0.1834172319999999</v>
      </c>
      <c r="G2727" t="n">
        <v>0.0124735821020497</v>
      </c>
      <c r="H2727" t="n">
        <v>0.0568731270035541</v>
      </c>
      <c r="I2727" t="n">
        <v>0.0040241494843109</v>
      </c>
      <c r="J2727" t="n">
        <v>0.009038999977953601</v>
      </c>
      <c r="K2727" t="n">
        <v>0.6726124889270609</v>
      </c>
      <c r="L2727" t="b">
        <v>1</v>
      </c>
      <c r="M2727" t="b">
        <v>0</v>
      </c>
      <c r="N2727" t="inlineStr">
        <is>
          <t>alt</t>
        </is>
      </c>
      <c r="O2727" t="n">
        <v>-40</v>
      </c>
      <c r="P2727" t="n">
        <v>0.01396</v>
      </c>
      <c r="Q2727" t="n">
        <v>80</v>
      </c>
      <c r="R2727" t="n">
        <v>0.127</v>
      </c>
      <c r="S2727">
        <f>IMAGE("https://mitra.stanford.edu/kundaje/oak/projects/neuro-variants/variant_position/credible/roussos_2024/variant_figures/roussos_2024.infant.GLU/rs1289771_count_position.png",4,220,900)</f>
        <v/>
      </c>
      <c r="T2727">
        <f>IMAGE("https://mitra.stanford.edu/kundaje/oak/projects/neuro-variants/variant_position/credible/roussos_2024/variant_figures/roussos_2024.infant.GLU/rs1289771_profile_position.png",4,220,900)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0.01898571508</v>
      </c>
      <c r="G2728" t="n">
        <v>0.4543175123562974</v>
      </c>
      <c r="H2728" t="n">
        <v>0.0352436855000176</v>
      </c>
      <c r="I2728" t="n">
        <v>0.033404752175467</v>
      </c>
      <c r="J2728" t="n">
        <v>0.0050949094997684</v>
      </c>
      <c r="K2728" t="n">
        <v>0.7545474054788136</v>
      </c>
      <c r="L2728" t="b">
        <v>0</v>
      </c>
      <c r="M2728" t="b">
        <v>0</v>
      </c>
      <c r="N2728" t="inlineStr">
        <is>
          <t>alt</t>
        </is>
      </c>
      <c r="O2728" t="n">
        <v>100</v>
      </c>
      <c r="P2728" t="n">
        <v>0.03027</v>
      </c>
      <c r="Q2728" t="n">
        <v>-95</v>
      </c>
      <c r="R2728" t="n">
        <v>0.03876</v>
      </c>
      <c r="S2728">
        <f>IMAGE("https://mitra.stanford.edu/kundaje/oak/projects/neuro-variants/variant_position/credible/roussos_2024/variant_figures/roussos_2024.infant.GLU/rs1289769_count_position.png",4,220,900)</f>
        <v/>
      </c>
      <c r="T2728">
        <f>IMAGE("https://mitra.stanford.edu/kundaje/oak/projects/neuro-variants/variant_position/credible/roussos_2024/variant_figures/roussos_2024.infant.GLU/rs1289769_profile_position.png",4,220,900)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0.0068978184</v>
      </c>
      <c r="G2729" t="n">
        <v>0.5676333605478804</v>
      </c>
      <c r="H2729" t="n">
        <v>0.012049653038931</v>
      </c>
      <c r="I2729" t="n">
        <v>0.5550274643382902</v>
      </c>
      <c r="J2729" t="n">
        <v>0.0220364205560086</v>
      </c>
      <c r="K2729" t="n">
        <v>0.5187956162619173</v>
      </c>
      <c r="L2729" t="b">
        <v>0</v>
      </c>
      <c r="M2729" t="b">
        <v>0</v>
      </c>
      <c r="N2729" t="inlineStr">
        <is>
          <t>alt</t>
        </is>
      </c>
      <c r="O2729" t="n">
        <v>-100</v>
      </c>
      <c r="P2729" t="n">
        <v>0.02126</v>
      </c>
      <c r="Q2729" t="n">
        <v>80</v>
      </c>
      <c r="R2729" t="n">
        <v>0.0747</v>
      </c>
      <c r="S2729">
        <f>IMAGE("https://mitra.stanford.edu/kundaje/oak/projects/neuro-variants/variant_position/credible/roussos_2024/variant_figures/roussos_2024.infant.GLU/rs62267923_count_position.png",4,220,900)</f>
        <v/>
      </c>
      <c r="T2729">
        <f>IMAGE("https://mitra.stanford.edu/kundaje/oak/projects/neuro-variants/variant_position/credible/roussos_2024/variant_figures/roussos_2024.infant.GLU/rs62267923_profile_position.png",4,220,900)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0.0153931183</v>
      </c>
      <c r="G2730" t="n">
        <v>0.5110024967452363</v>
      </c>
      <c r="H2730" t="n">
        <v>0.0455050897494042</v>
      </c>
      <c r="I2730" t="n">
        <v>0.0116234928755129</v>
      </c>
      <c r="J2730" t="n">
        <v>0.0385656650278885</v>
      </c>
      <c r="K2730" t="n">
        <v>0.3955804512592072</v>
      </c>
      <c r="L2730" t="b">
        <v>1</v>
      </c>
      <c r="M2730" t="b">
        <v>0</v>
      </c>
      <c r="N2730" t="inlineStr">
        <is>
          <t>alt</t>
        </is>
      </c>
      <c r="O2730" t="n">
        <v>0</v>
      </c>
      <c r="P2730" t="n">
        <v>0</v>
      </c>
      <c r="Q2730" t="n">
        <v>-100</v>
      </c>
      <c r="R2730" t="n">
        <v>0.04092</v>
      </c>
      <c r="S2730">
        <f>IMAGE("https://mitra.stanford.edu/kundaje/oak/projects/neuro-variants/variant_position/credible/roussos_2024/variant_figures/roussos_2024.infant.GLU/rs1289759_count_position.png",4,220,900)</f>
        <v/>
      </c>
      <c r="T2730">
        <f>IMAGE("https://mitra.stanford.edu/kundaje/oak/projects/neuro-variants/variant_position/credible/roussos_2024/variant_figures/roussos_2024.infant.GLU/rs1289759_profile_position.png",4,220,900)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0.0245555696</v>
      </c>
      <c r="G2731" t="n">
        <v>0.3671456387082962</v>
      </c>
      <c r="H2731" t="n">
        <v>0.0110234003365411</v>
      </c>
      <c r="I2731" t="n">
        <v>0.6453636654045453</v>
      </c>
      <c r="J2731" t="n">
        <v>0.1999327586587005</v>
      </c>
      <c r="K2731" t="n">
        <v>0.1109197500519121</v>
      </c>
      <c r="L2731" t="b">
        <v>0</v>
      </c>
      <c r="M2731" t="b">
        <v>0</v>
      </c>
      <c r="N2731" t="inlineStr">
        <is>
          <t>alt</t>
        </is>
      </c>
      <c r="O2731" t="n">
        <v>-80</v>
      </c>
      <c r="P2731" t="n">
        <v>0.006813</v>
      </c>
      <c r="Q2731" t="n">
        <v>100</v>
      </c>
      <c r="R2731" t="n">
        <v>0.08749999999999999</v>
      </c>
      <c r="S2731">
        <f>IMAGE("https://mitra.stanford.edu/kundaje/oak/projects/neuro-variants/variant_position/credible/roussos_2024/variant_figures/roussos_2024.infant.GLU/rs9842435_count_position.png",4,220,900)</f>
        <v/>
      </c>
      <c r="T2731">
        <f>IMAGE("https://mitra.stanford.edu/kundaje/oak/projects/neuro-variants/variant_position/credible/roussos_2024/variant_figures/roussos_2024.infant.GLU/rs9842435_profile_position.png",4,220,900)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0.145473194</v>
      </c>
      <c r="G2732" t="n">
        <v>0.0228206334634585</v>
      </c>
      <c r="H2732" t="n">
        <v>0.0418048183219006</v>
      </c>
      <c r="I2732" t="n">
        <v>0.0170100040210342</v>
      </c>
      <c r="J2732" t="n">
        <v>0.5177737604444543</v>
      </c>
      <c r="K2732" t="n">
        <v>0.0290093209555029</v>
      </c>
      <c r="L2732" t="b">
        <v>1</v>
      </c>
      <c r="M2732" t="b">
        <v>0</v>
      </c>
      <c r="N2732" t="inlineStr">
        <is>
          <t>alt</t>
        </is>
      </c>
      <c r="O2732" t="n">
        <v>85</v>
      </c>
      <c r="P2732" t="n">
        <v>0.136</v>
      </c>
      <c r="Q2732" t="n">
        <v>90</v>
      </c>
      <c r="R2732" t="n">
        <v>0.1516</v>
      </c>
      <c r="S2732">
        <f>IMAGE("https://mitra.stanford.edu/kundaje/oak/projects/neuro-variants/variant_position/credible/roussos_2024/variant_figures/roussos_2024.infant.GLU/rs6799997_count_position.png",4,220,900)</f>
        <v/>
      </c>
      <c r="T2732">
        <f>IMAGE("https://mitra.stanford.edu/kundaje/oak/projects/neuro-variants/variant_position/credible/roussos_2024/variant_figures/roussos_2024.infant.GLU/rs6799997_profile_position.png",4,220,900)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0.0135394066351999</v>
      </c>
      <c r="G2733" t="n">
        <v>0.5789938738858289</v>
      </c>
      <c r="H2733" t="n">
        <v>0.0159454609167148</v>
      </c>
      <c r="I2733" t="n">
        <v>0.3147238128127531</v>
      </c>
      <c r="J2733" t="n">
        <v>0.0310114861438743</v>
      </c>
      <c r="K2733" t="n">
        <v>0.4526265072323068</v>
      </c>
      <c r="L2733" t="b">
        <v>0</v>
      </c>
      <c r="M2733" t="b">
        <v>0</v>
      </c>
      <c r="N2733" t="inlineStr">
        <is>
          <t>alt</t>
        </is>
      </c>
      <c r="O2733" t="n">
        <v>55</v>
      </c>
      <c r="P2733" t="n">
        <v>0.006653</v>
      </c>
      <c r="Q2733" t="n">
        <v>80</v>
      </c>
      <c r="R2733" t="n">
        <v>0.06665</v>
      </c>
      <c r="S2733">
        <f>IMAGE("https://mitra.stanford.edu/kundaje/oak/projects/neuro-variants/variant_position/credible/roussos_2024/variant_figures/roussos_2024.infant.GLU/rs55979908_count_position.png",4,220,900)</f>
        <v/>
      </c>
      <c r="T2733">
        <f>IMAGE("https://mitra.stanford.edu/kundaje/oak/projects/neuro-variants/variant_position/credible/roussos_2024/variant_figures/roussos_2024.infant.GLU/rs55979908_profile_position.png",4,220,900)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0.089522618</v>
      </c>
      <c r="G2734" t="n">
        <v>0.0617226231424442</v>
      </c>
      <c r="H2734" t="n">
        <v>0.0408636601132188</v>
      </c>
      <c r="I2734" t="n">
        <v>0.0185394082384305</v>
      </c>
      <c r="J2734" t="n">
        <v>0.0464902224475847</v>
      </c>
      <c r="K2734" t="n">
        <v>0.361412873287066</v>
      </c>
      <c r="L2734" t="b">
        <v>1</v>
      </c>
      <c r="M2734" t="b">
        <v>0</v>
      </c>
      <c r="N2734" t="inlineStr">
        <is>
          <t>alt</t>
        </is>
      </c>
      <c r="O2734" t="n">
        <v>-95</v>
      </c>
      <c r="P2734" t="n">
        <v>0.06256</v>
      </c>
      <c r="Q2734" t="n">
        <v>65</v>
      </c>
      <c r="R2734" t="n">
        <v>0.1283</v>
      </c>
      <c r="S2734">
        <f>IMAGE("https://mitra.stanford.edu/kundaje/oak/projects/neuro-variants/variant_position/credible/roussos_2024/variant_figures/roussos_2024.infant.GLU/rs62263082_count_position.png",4,220,900)</f>
        <v/>
      </c>
      <c r="T2734">
        <f>IMAGE("https://mitra.stanford.edu/kundaje/oak/projects/neuro-variants/variant_position/credible/roussos_2024/variant_figures/roussos_2024.infant.GLU/rs62263082_profile_position.png",4,220,900)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-0.054231606</v>
      </c>
      <c r="G2735" t="n">
        <v>0.1508919734477549</v>
      </c>
      <c r="H2735" t="n">
        <v>0.0300022524587114</v>
      </c>
      <c r="I2735" t="n">
        <v>0.0577476639480105</v>
      </c>
      <c r="J2735" t="n">
        <v>0.2800216054145815</v>
      </c>
      <c r="K2735" t="n">
        <v>0.0749326333662562</v>
      </c>
      <c r="L2735" t="b">
        <v>0</v>
      </c>
      <c r="M2735" t="b">
        <v>0</v>
      </c>
      <c r="N2735" t="inlineStr">
        <is>
          <t>ref</t>
        </is>
      </c>
      <c r="O2735" t="n">
        <v>-45</v>
      </c>
      <c r="P2735" t="n">
        <v>0.01773</v>
      </c>
      <c r="Q2735" t="n">
        <v>-50</v>
      </c>
      <c r="R2735" t="n">
        <v>0.1348</v>
      </c>
      <c r="S2735">
        <f>IMAGE("https://mitra.stanford.edu/kundaje/oak/projects/neuro-variants/variant_position/credible/roussos_2024/variant_figures/roussos_2024.infant.GLU/rs55704727_count_position.png",4,220,900)</f>
        <v/>
      </c>
      <c r="T2735">
        <f>IMAGE("https://mitra.stanford.edu/kundaje/oak/projects/neuro-variants/variant_position/credible/roussos_2024/variant_figures/roussos_2024.infant.GLU/rs55704727_profile_position.png",4,220,900)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0.01028287432</v>
      </c>
      <c r="G2736" t="n">
        <v>0.6045231251567554</v>
      </c>
      <c r="H2736" t="n">
        <v>0.0359305792455054</v>
      </c>
      <c r="I2736" t="n">
        <v>0.0307058969556925</v>
      </c>
      <c r="J2736" t="n">
        <v>0.0028880707246632</v>
      </c>
      <c r="K2736" t="n">
        <v>0.8189927717855006</v>
      </c>
      <c r="L2736" t="b">
        <v>0</v>
      </c>
      <c r="M2736" t="b">
        <v>0</v>
      </c>
      <c r="N2736" t="inlineStr">
        <is>
          <t>alt</t>
        </is>
      </c>
      <c r="O2736" t="n">
        <v>20</v>
      </c>
      <c r="P2736" t="n">
        <v>0.00586</v>
      </c>
      <c r="Q2736" t="n">
        <v>-85</v>
      </c>
      <c r="R2736" t="n">
        <v>0.01245</v>
      </c>
      <c r="S2736">
        <f>IMAGE("https://mitra.stanford.edu/kundaje/oak/projects/neuro-variants/variant_position/credible/roussos_2024/variant_figures/roussos_2024.infant.GLU/rs6769144_count_position.png",4,220,900)</f>
        <v/>
      </c>
      <c r="T2736">
        <f>IMAGE("https://mitra.stanford.edu/kundaje/oak/projects/neuro-variants/variant_position/credible/roussos_2024/variant_figures/roussos_2024.infant.GLU/rs6769144_profile_position.png",4,220,900)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-0.0011891655399999</v>
      </c>
      <c r="G2737" t="n">
        <v>0.7665131454628443</v>
      </c>
      <c r="H2737" t="n">
        <v>0.0143526010823698</v>
      </c>
      <c r="I2737" t="n">
        <v>0.3939609294743736</v>
      </c>
      <c r="J2737" t="n">
        <v>0.0008190215833682</v>
      </c>
      <c r="K2737" t="n">
        <v>0.9076528199163354</v>
      </c>
      <c r="L2737" t="b">
        <v>0</v>
      </c>
      <c r="M2737" t="b">
        <v>0</v>
      </c>
      <c r="N2737" t="inlineStr">
        <is>
          <t>ref</t>
        </is>
      </c>
      <c r="O2737" t="n">
        <v>85</v>
      </c>
      <c r="P2737" t="n">
        <v>0.02295</v>
      </c>
      <c r="Q2737" t="n">
        <v>-100</v>
      </c>
      <c r="R2737" t="n">
        <v>0.02643</v>
      </c>
      <c r="S2737">
        <f>IMAGE("https://mitra.stanford.edu/kundaje/oak/projects/neuro-variants/variant_position/credible/roussos_2024/variant_figures/roussos_2024.infant.GLU/rs62263119_count_position.png",4,220,900)</f>
        <v/>
      </c>
      <c r="T2737">
        <f>IMAGE("https://mitra.stanford.edu/kundaje/oak/projects/neuro-variants/variant_position/credible/roussos_2024/variant_figures/roussos_2024.infant.GLU/rs62263119_profile_position.png",4,220,900)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-0.00313695556</v>
      </c>
      <c r="G2738" t="n">
        <v>0.870785431445009</v>
      </c>
      <c r="H2738" t="n">
        <v>0.0088115558353283</v>
      </c>
      <c r="I2738" t="n">
        <v>0.8461382199936268</v>
      </c>
      <c r="J2738" t="n">
        <v>0.0006922551202627</v>
      </c>
      <c r="K2738" t="n">
        <v>0.9161808780894084</v>
      </c>
      <c r="L2738" t="b">
        <v>0</v>
      </c>
      <c r="M2738" t="b">
        <v>0</v>
      </c>
      <c r="N2738" t="inlineStr">
        <is>
          <t>ref</t>
        </is>
      </c>
      <c r="O2738" t="n">
        <v>100</v>
      </c>
      <c r="P2738" t="n">
        <v>0.014145</v>
      </c>
      <c r="Q2738" t="n">
        <v>-60</v>
      </c>
      <c r="R2738" t="n">
        <v>0.0522</v>
      </c>
      <c r="S2738">
        <f>IMAGE("https://mitra.stanford.edu/kundaje/oak/projects/neuro-variants/variant_position/credible/roussos_2024/variant_figures/roussos_2024.infant.GLU/rs62263120_count_position.png",4,220,900)</f>
        <v/>
      </c>
      <c r="T2738">
        <f>IMAGE("https://mitra.stanford.edu/kundaje/oak/projects/neuro-variants/variant_position/credible/roussos_2024/variant_figures/roussos_2024.infant.GLU/rs62263120_profile_position.png",4,220,900)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-0.134211086</v>
      </c>
      <c r="G2739" t="n">
        <v>0.0285711573695217</v>
      </c>
      <c r="H2739" t="n">
        <v>0.0160423974966617</v>
      </c>
      <c r="I2739" t="n">
        <v>0.315974128564591</v>
      </c>
      <c r="J2739" t="n">
        <v>0.0100707687559249</v>
      </c>
      <c r="K2739" t="n">
        <v>0.6612994634439233</v>
      </c>
      <c r="L2739" t="b">
        <v>0</v>
      </c>
      <c r="M2739" t="b">
        <v>0</v>
      </c>
      <c r="N2739" t="inlineStr">
        <is>
          <t>ref</t>
        </is>
      </c>
      <c r="O2739" t="n">
        <v>60</v>
      </c>
      <c r="P2739" t="n">
        <v>0.002563</v>
      </c>
      <c r="Q2739" t="n">
        <v>-85</v>
      </c>
      <c r="R2739" t="n">
        <v>0.02881</v>
      </c>
      <c r="S2739">
        <f>IMAGE("https://mitra.stanford.edu/kundaje/oak/projects/neuro-variants/variant_position/credible/roussos_2024/variant_figures/roussos_2024.infant.GLU/rs62264763_count_position.png",4,220,900)</f>
        <v/>
      </c>
      <c r="T2739">
        <f>IMAGE("https://mitra.stanford.edu/kundaje/oak/projects/neuro-variants/variant_position/credible/roussos_2024/variant_figures/roussos_2024.infant.GLU/rs62264763_profile_position.png",4,220,900)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-0.06863037819999999</v>
      </c>
      <c r="G2740" t="n">
        <v>0.0999842157658678</v>
      </c>
      <c r="H2740" t="n">
        <v>0.0346339934378482</v>
      </c>
      <c r="I2740" t="n">
        <v>0.0365715676203027</v>
      </c>
      <c r="J2740" t="n">
        <v>0.1927191957494653</v>
      </c>
      <c r="K2740" t="n">
        <v>0.1126250214818815</v>
      </c>
      <c r="L2740" t="b">
        <v>0</v>
      </c>
      <c r="M2740" t="b">
        <v>0</v>
      </c>
      <c r="N2740" t="inlineStr">
        <is>
          <t>ref</t>
        </is>
      </c>
      <c r="O2740" t="n">
        <v>15</v>
      </c>
      <c r="P2740" t="n">
        <v>0.003937</v>
      </c>
      <c r="Q2740" t="n">
        <v>-90</v>
      </c>
      <c r="R2740" t="n">
        <v>0.2195</v>
      </c>
      <c r="S2740">
        <f>IMAGE("https://mitra.stanford.edu/kundaje/oak/projects/neuro-variants/variant_position/credible/roussos_2024/variant_figures/roussos_2024.infant.GLU/rs62264764_count_position.png",4,220,900)</f>
        <v/>
      </c>
      <c r="T2740">
        <f>IMAGE("https://mitra.stanford.edu/kundaje/oak/projects/neuro-variants/variant_position/credible/roussos_2024/variant_figures/roussos_2024.infant.GLU/rs62264764_profile_position.png",4,220,900)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-0.0197057482</v>
      </c>
      <c r="G2741" t="n">
        <v>0.4551469357836167</v>
      </c>
      <c r="H2741" t="n">
        <v>0.0094901857230197</v>
      </c>
      <c r="I2741" t="n">
        <v>0.7865686081686039</v>
      </c>
      <c r="J2741" t="n">
        <v>0.0936682907471504</v>
      </c>
      <c r="K2741" t="n">
        <v>0.2181955676005768</v>
      </c>
      <c r="L2741" t="b">
        <v>0</v>
      </c>
      <c r="M2741" t="b">
        <v>0</v>
      </c>
      <c r="N2741" t="inlineStr">
        <is>
          <t>ref</t>
        </is>
      </c>
      <c r="O2741" t="n">
        <v>-80</v>
      </c>
      <c r="P2741" t="n">
        <v>0.1282</v>
      </c>
      <c r="Q2741" t="n">
        <v>-80</v>
      </c>
      <c r="R2741" t="n">
        <v>0.11066</v>
      </c>
      <c r="S2741">
        <f>IMAGE("https://mitra.stanford.edu/kundaje/oak/projects/neuro-variants/variant_position/credible/roussos_2024/variant_figures/roussos_2024.infant.GLU/rs7649429_count_position.png",4,220,900)</f>
        <v/>
      </c>
      <c r="T2741">
        <f>IMAGE("https://mitra.stanford.edu/kundaje/oak/projects/neuro-variants/variant_position/credible/roussos_2024/variant_figures/roussos_2024.infant.GLU/rs7649429_profile_position.png",4,220,900)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0.214203914</v>
      </c>
      <c r="G2742" t="n">
        <v>0.0090038542177877</v>
      </c>
      <c r="H2742" t="n">
        <v>0.0325322492676588</v>
      </c>
      <c r="I2742" t="n">
        <v>0.044132567222478</v>
      </c>
      <c r="J2742" t="n">
        <v>0.2178343878833307</v>
      </c>
      <c r="K2742" t="n">
        <v>0.1040432076310338</v>
      </c>
      <c r="L2742" t="b">
        <v>1</v>
      </c>
      <c r="M2742" t="b">
        <v>1</v>
      </c>
      <c r="N2742" t="inlineStr">
        <is>
          <t>alt</t>
        </is>
      </c>
      <c r="O2742" t="n">
        <v>-25</v>
      </c>
      <c r="P2742" t="n">
        <v>0.008449999999999999</v>
      </c>
      <c r="Q2742" t="n">
        <v>-45</v>
      </c>
      <c r="R2742" t="n">
        <v>0.05518</v>
      </c>
      <c r="S2742">
        <f>IMAGE("https://mitra.stanford.edu/kundaje/oak/projects/neuro-variants/variant_position/credible/roussos_2024/variant_figures/roussos_2024.infant.GLU/rs7631320_count_position.png",4,220,900)</f>
        <v/>
      </c>
      <c r="T2742">
        <f>IMAGE("https://mitra.stanford.edu/kundaje/oak/projects/neuro-variants/variant_position/credible/roussos_2024/variant_figures/roussos_2024.infant.GLU/rs7631320_profile_position.png",4,220,900)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-0.0605718312</v>
      </c>
      <c r="G2743" t="n">
        <v>0.1372228304610428</v>
      </c>
      <c r="H2743" t="n">
        <v>0.0113661578623251</v>
      </c>
      <c r="I2743" t="n">
        <v>0.6003437738555788</v>
      </c>
      <c r="J2743" t="n">
        <v>0.0248186688419056</v>
      </c>
      <c r="K2743" t="n">
        <v>0.5049336560465328</v>
      </c>
      <c r="L2743" t="b">
        <v>0</v>
      </c>
      <c r="M2743" t="b">
        <v>0</v>
      </c>
      <c r="N2743" t="inlineStr">
        <is>
          <t>ref</t>
        </is>
      </c>
      <c r="O2743" t="n">
        <v>95</v>
      </c>
      <c r="P2743" t="n">
        <v>0.0542</v>
      </c>
      <c r="Q2743" t="n">
        <v>-5</v>
      </c>
      <c r="R2743" t="n">
        <v>0.000977</v>
      </c>
      <c r="S2743">
        <f>IMAGE("https://mitra.stanford.edu/kundaje/oak/projects/neuro-variants/variant_position/credible/roussos_2024/variant_figures/roussos_2024.infant.GLU/rs62264778_count_position.png",4,220,900)</f>
        <v/>
      </c>
      <c r="T2743">
        <f>IMAGE("https://mitra.stanford.edu/kundaje/oak/projects/neuro-variants/variant_position/credible/roussos_2024/variant_figures/roussos_2024.infant.GLU/rs62264778_profile_position.png",4,220,900)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0.07344300719999999</v>
      </c>
      <c r="G2744" t="n">
        <v>0.0934255249610655</v>
      </c>
      <c r="H2744" t="n">
        <v>0.0205434389177258</v>
      </c>
      <c r="I2744" t="n">
        <v>0.1727470397931808</v>
      </c>
      <c r="J2744" t="n">
        <v>0.1928746224564033</v>
      </c>
      <c r="K2744" t="n">
        <v>0.1131574009115577</v>
      </c>
      <c r="L2744" t="b">
        <v>0</v>
      </c>
      <c r="M2744" t="b">
        <v>0</v>
      </c>
      <c r="N2744" t="inlineStr">
        <is>
          <t>alt</t>
        </is>
      </c>
      <c r="O2744" t="n">
        <v>-35</v>
      </c>
      <c r="P2744" t="n">
        <v>0.005615</v>
      </c>
      <c r="Q2744" t="n">
        <v>90</v>
      </c>
      <c r="R2744" t="n">
        <v>0.0337</v>
      </c>
      <c r="S2744">
        <f>IMAGE("https://mitra.stanford.edu/kundaje/oak/projects/neuro-variants/variant_position/credible/roussos_2024/variant_figures/roussos_2024.infant.GLU/rs62264780_count_position.png",4,220,900)</f>
        <v/>
      </c>
      <c r="T2744">
        <f>IMAGE("https://mitra.stanford.edu/kundaje/oak/projects/neuro-variants/variant_position/credible/roussos_2024/variant_figures/roussos_2024.infant.GLU/rs62264780_profile_position.png",4,220,900)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-0.00319100098</v>
      </c>
      <c r="G2745" t="n">
        <v>0.7480314948058114</v>
      </c>
      <c r="H2745" t="n">
        <v>0.008795622344032399</v>
      </c>
      <c r="I2745" t="n">
        <v>0.8352643539157899</v>
      </c>
      <c r="J2745" t="n">
        <v>0.0012864040212526</v>
      </c>
      <c r="K2745" t="n">
        <v>0.8985861545362324</v>
      </c>
      <c r="L2745" t="b">
        <v>0</v>
      </c>
      <c r="M2745" t="b">
        <v>0</v>
      </c>
      <c r="N2745" t="inlineStr">
        <is>
          <t>ref</t>
        </is>
      </c>
      <c r="O2745" t="n">
        <v>-40</v>
      </c>
      <c r="P2745" t="n">
        <v>0.00476</v>
      </c>
      <c r="Q2745" t="n">
        <v>-60</v>
      </c>
      <c r="R2745" t="n">
        <v>0.0721</v>
      </c>
      <c r="S2745">
        <f>IMAGE("https://mitra.stanford.edu/kundaje/oak/projects/neuro-variants/variant_position/credible/roussos_2024/variant_figures/roussos_2024.infant.GLU/rs73168397_count_position.png",4,220,900)</f>
        <v/>
      </c>
      <c r="T2745">
        <f>IMAGE("https://mitra.stanford.edu/kundaje/oak/projects/neuro-variants/variant_position/credible/roussos_2024/variant_figures/roussos_2024.infant.GLU/rs73168397_profile_position.png",4,220,900)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0.0275943797999999</v>
      </c>
      <c r="G2746" t="n">
        <v>0.3425185638553177</v>
      </c>
      <c r="H2746" t="n">
        <v>0.008524720520391899</v>
      </c>
      <c r="I2746" t="n">
        <v>0.8515120052918587</v>
      </c>
      <c r="J2746" t="n">
        <v>0.0405575519742498</v>
      </c>
      <c r="K2746" t="n">
        <v>0.3909266686241935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0.01277</v>
      </c>
      <c r="Q2746" t="n">
        <v>-85</v>
      </c>
      <c r="R2746" t="n">
        <v>0.05518</v>
      </c>
      <c r="S2746">
        <f>IMAGE("https://mitra.stanford.edu/kundaje/oak/projects/neuro-variants/variant_position/credible/roussos_2024/variant_figures/roussos_2024.infant.GLU/rs62264819_count_position.png",4,220,900)</f>
        <v/>
      </c>
      <c r="T2746">
        <f>IMAGE("https://mitra.stanford.edu/kundaje/oak/projects/neuro-variants/variant_position/credible/roussos_2024/variant_figures/roussos_2024.infant.GLU/rs62264819_profile_position.png",4,220,900)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0.0412340836</v>
      </c>
      <c r="G2747" t="n">
        <v>0.2169197730567846</v>
      </c>
      <c r="H2747" t="n">
        <v>0.0168102551300055</v>
      </c>
      <c r="I2747" t="n">
        <v>0.279801222813174</v>
      </c>
      <c r="J2747" t="n">
        <v>0.2958817434246786</v>
      </c>
      <c r="K2747" t="n">
        <v>0.0694842242763624</v>
      </c>
      <c r="L2747" t="b">
        <v>0</v>
      </c>
      <c r="M2747" t="b">
        <v>0</v>
      </c>
      <c r="N2747" t="inlineStr">
        <is>
          <t>alt</t>
        </is>
      </c>
      <c r="O2747" t="n">
        <v>-85</v>
      </c>
      <c r="P2747" t="n">
        <v>0.081</v>
      </c>
      <c r="Q2747" t="n">
        <v>90</v>
      </c>
      <c r="R2747" t="n">
        <v>0.2598</v>
      </c>
      <c r="S2747">
        <f>IMAGE("https://mitra.stanford.edu/kundaje/oak/projects/neuro-variants/variant_position/credible/roussos_2024/variant_figures/roussos_2024.infant.GLU/rs1499972_count_position.png",4,220,900)</f>
        <v/>
      </c>
      <c r="T2747">
        <f>IMAGE("https://mitra.stanford.edu/kundaje/oak/projects/neuro-variants/variant_position/credible/roussos_2024/variant_figures/roussos_2024.infant.GLU/rs1499972_profile_position.png",4,220,900)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-0.274204446</v>
      </c>
      <c r="G2748" t="n">
        <v>0.0039671474574355</v>
      </c>
      <c r="H2748" t="n">
        <v>0.0425847735764274</v>
      </c>
      <c r="I2748" t="n">
        <v>0.015648649616693</v>
      </c>
      <c r="J2748" t="n">
        <v>0.4697700566590974</v>
      </c>
      <c r="K2748" t="n">
        <v>0.0348634250970444</v>
      </c>
      <c r="L2748" t="b">
        <v>1</v>
      </c>
      <c r="M2748" t="b">
        <v>1</v>
      </c>
      <c r="N2748" t="inlineStr">
        <is>
          <t>ref</t>
        </is>
      </c>
      <c r="O2748" t="n">
        <v>95</v>
      </c>
      <c r="P2748" t="n">
        <v>0.06134</v>
      </c>
      <c r="Q2748" t="n">
        <v>95</v>
      </c>
      <c r="R2748" t="n">
        <v>0.7017</v>
      </c>
      <c r="S2748">
        <f>IMAGE("https://mitra.stanford.edu/kundaje/oak/projects/neuro-variants/variant_position/credible/roussos_2024/variant_figures/roussos_2024.infant.GLU/rs2925312_count_position.png",4,220,900)</f>
        <v/>
      </c>
      <c r="T2748">
        <f>IMAGE("https://mitra.stanford.edu/kundaje/oak/projects/neuro-variants/variant_position/credible/roussos_2024/variant_figures/roussos_2024.infant.GLU/rs2925312_profile_position.png",4,220,900)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0.0158508822</v>
      </c>
      <c r="G2749" t="n">
        <v>0.5043572357753534</v>
      </c>
      <c r="H2749" t="n">
        <v>0.0083494580850036</v>
      </c>
      <c r="I2749" t="n">
        <v>0.8850106463869816</v>
      </c>
      <c r="J2749" t="n">
        <v>0.2335302806499261</v>
      </c>
      <c r="K2749" t="n">
        <v>0.0922392801719744</v>
      </c>
      <c r="L2749" t="b">
        <v>0</v>
      </c>
      <c r="M2749" t="b">
        <v>0</v>
      </c>
      <c r="N2749" t="inlineStr">
        <is>
          <t>alt</t>
        </is>
      </c>
      <c r="O2749" t="n">
        <v>-15</v>
      </c>
      <c r="P2749" t="n">
        <v>0.006363</v>
      </c>
      <c r="Q2749" t="n">
        <v>95</v>
      </c>
      <c r="R2749" t="n">
        <v>0.2194</v>
      </c>
      <c r="S2749">
        <f>IMAGE("https://mitra.stanford.edu/kundaje/oak/projects/neuro-variants/variant_position/credible/roussos_2024/variant_figures/roussos_2024.infant.GLU/rs843852_count_position.png",4,220,900)</f>
        <v/>
      </c>
      <c r="T2749">
        <f>IMAGE("https://mitra.stanford.edu/kundaje/oak/projects/neuro-variants/variant_position/credible/roussos_2024/variant_figures/roussos_2024.infant.GLU/rs843852_profile_position.png",4,220,900)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-0.0412572996</v>
      </c>
      <c r="G2750" t="n">
        <v>0.2235377852312131</v>
      </c>
      <c r="H2750" t="n">
        <v>0.0093911022122016</v>
      </c>
      <c r="I2750" t="n">
        <v>0.7948016346913254</v>
      </c>
      <c r="J2750" t="n">
        <v>0.0134559844793756</v>
      </c>
      <c r="K2750" t="n">
        <v>0.6214826651400454</v>
      </c>
      <c r="L2750" t="b">
        <v>0</v>
      </c>
      <c r="M2750" t="b">
        <v>0</v>
      </c>
      <c r="N2750" t="inlineStr">
        <is>
          <t>ref</t>
        </is>
      </c>
      <c r="O2750" t="n">
        <v>-95</v>
      </c>
      <c r="P2750" t="n">
        <v>0.03038</v>
      </c>
      <c r="Q2750" t="n">
        <v>100</v>
      </c>
      <c r="R2750" t="n">
        <v>0.2617</v>
      </c>
      <c r="S2750">
        <f>IMAGE("https://mitra.stanford.edu/kundaje/oak/projects/neuro-variants/variant_position/credible/roussos_2024/variant_figures/roussos_2024.infant.GLU/rs1093464_count_position.png",4,220,900)</f>
        <v/>
      </c>
      <c r="T2750">
        <f>IMAGE("https://mitra.stanford.edu/kundaje/oak/projects/neuro-variants/variant_position/credible/roussos_2024/variant_figures/roussos_2024.infant.GLU/rs1093464_profile_position.png",4,220,900)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-0.0261744042</v>
      </c>
      <c r="G2751" t="n">
        <v>0.3674709232371888</v>
      </c>
      <c r="H2751" t="n">
        <v>0.012936949589271</v>
      </c>
      <c r="I2751" t="n">
        <v>0.4847494979028624</v>
      </c>
      <c r="J2751" t="n">
        <v>0.0145869617936902</v>
      </c>
      <c r="K2751" t="n">
        <v>0.6004553600908513</v>
      </c>
      <c r="L2751" t="b">
        <v>0</v>
      </c>
      <c r="M2751" t="b">
        <v>0</v>
      </c>
      <c r="N2751" t="inlineStr">
        <is>
          <t>ref</t>
        </is>
      </c>
      <c r="O2751" t="n">
        <v>95</v>
      </c>
      <c r="P2751" t="n">
        <v>0.03925</v>
      </c>
      <c r="Q2751" t="n">
        <v>-20</v>
      </c>
      <c r="R2751" t="n">
        <v>0.0597</v>
      </c>
      <c r="S2751">
        <f>IMAGE("https://mitra.stanford.edu/kundaje/oak/projects/neuro-variants/variant_position/credible/roussos_2024/variant_figures/roussos_2024.infant.GLU/rs846184_count_position.png",4,220,900)</f>
        <v/>
      </c>
      <c r="T2751">
        <f>IMAGE("https://mitra.stanford.edu/kundaje/oak/projects/neuro-variants/variant_position/credible/roussos_2024/variant_figures/roussos_2024.infant.GLU/rs846184_profile_position.png",4,220,900)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0.0383253298</v>
      </c>
      <c r="G2752" t="n">
        <v>0.2360521553563578</v>
      </c>
      <c r="H2752" t="n">
        <v>0.0100362529229711</v>
      </c>
      <c r="I2752" t="n">
        <v>0.7409159100583236</v>
      </c>
      <c r="J2752" t="n">
        <v>0.0139167530148371</v>
      </c>
      <c r="K2752" t="n">
        <v>0.618436626550694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0.0185</v>
      </c>
      <c r="Q2752" t="n">
        <v>-80</v>
      </c>
      <c r="R2752" t="n">
        <v>0.02634</v>
      </c>
      <c r="S2752">
        <f>IMAGE("https://mitra.stanford.edu/kundaje/oak/projects/neuro-variants/variant_position/credible/roussos_2024/variant_figures/roussos_2024.infant.GLU/rs1499976_count_position.png",4,220,900)</f>
        <v/>
      </c>
      <c r="T2752">
        <f>IMAGE("https://mitra.stanford.edu/kundaje/oak/projects/neuro-variants/variant_position/credible/roussos_2024/variant_figures/roussos_2024.infant.GLU/rs1499976_profile_position.png",4,220,900)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0.189809568</v>
      </c>
      <c r="G2753" t="n">
        <v>0.0120753141682952</v>
      </c>
      <c r="H2753" t="n">
        <v>0.0303612210825831</v>
      </c>
      <c r="I2753" t="n">
        <v>0.05808236703398</v>
      </c>
      <c r="J2753" t="n">
        <v>0.0605888577790515</v>
      </c>
      <c r="K2753" t="n">
        <v>0.3027461668017986</v>
      </c>
      <c r="L2753" t="b">
        <v>1</v>
      </c>
      <c r="M2753" t="b">
        <v>0</v>
      </c>
      <c r="N2753" t="inlineStr">
        <is>
          <t>alt</t>
        </is>
      </c>
      <c r="O2753" t="n">
        <v>65</v>
      </c>
      <c r="P2753" t="n">
        <v>0.004585</v>
      </c>
      <c r="Q2753" t="n">
        <v>-60</v>
      </c>
      <c r="R2753" t="n">
        <v>0.05518</v>
      </c>
      <c r="S2753">
        <f>IMAGE("https://mitra.stanford.edu/kundaje/oak/projects/neuro-variants/variant_position/credible/roussos_2024/variant_figures/roussos_2024.infant.GLU/rs7612065_count_position.png",4,220,900)</f>
        <v/>
      </c>
      <c r="T2753">
        <f>IMAGE("https://mitra.stanford.edu/kundaje/oak/projects/neuro-variants/variant_position/credible/roussos_2024/variant_figures/roussos_2024.infant.GLU/rs7612065_profile_position.png",4,220,900)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0.0252469004</v>
      </c>
      <c r="G2754" t="n">
        <v>0.3609504170700631</v>
      </c>
      <c r="H2754" t="n">
        <v>0.0698990238212267</v>
      </c>
      <c r="I2754" t="n">
        <v>0.0013769469205035</v>
      </c>
      <c r="J2754" t="n">
        <v>0.0042461253554972</v>
      </c>
      <c r="K2754" t="n">
        <v>0.771037690859644</v>
      </c>
      <c r="L2754" t="b">
        <v>0</v>
      </c>
      <c r="M2754" t="b">
        <v>0</v>
      </c>
      <c r="N2754" t="inlineStr">
        <is>
          <t>alt</t>
        </is>
      </c>
      <c r="O2754" t="n">
        <v>10</v>
      </c>
      <c r="P2754" t="n">
        <v>0.000977</v>
      </c>
      <c r="Q2754" t="n">
        <v>50</v>
      </c>
      <c r="R2754" t="n">
        <v>0.01492</v>
      </c>
      <c r="S2754">
        <f>IMAGE("https://mitra.stanford.edu/kundaje/oak/projects/neuro-variants/variant_position/credible/roussos_2024/variant_figures/roussos_2024.infant.GLU/rs6439112_count_position.png",4,220,900)</f>
        <v/>
      </c>
      <c r="T2754">
        <f>IMAGE("https://mitra.stanford.edu/kundaje/oak/projects/neuro-variants/variant_position/credible/roussos_2024/variant_figures/roussos_2024.infant.GLU/rs6439112_profile_position.png",4,220,900)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-0.06872391759999991</v>
      </c>
      <c r="G2755" t="n">
        <v>0.1029850680613273</v>
      </c>
      <c r="H2755" t="n">
        <v>0.0163999381126626</v>
      </c>
      <c r="I2755" t="n">
        <v>0.3007147577537196</v>
      </c>
      <c r="J2755" t="n">
        <v>0.0136114111863135</v>
      </c>
      <c r="K2755" t="n">
        <v>0.6091930416748841</v>
      </c>
      <c r="L2755" t="b">
        <v>0</v>
      </c>
      <c r="M2755" t="b">
        <v>0</v>
      </c>
      <c r="N2755" t="inlineStr">
        <is>
          <t>ref</t>
        </is>
      </c>
      <c r="O2755" t="n">
        <v>-85</v>
      </c>
      <c r="P2755" t="n">
        <v>0.01495</v>
      </c>
      <c r="Q2755" t="n">
        <v>-85</v>
      </c>
      <c r="R2755" t="n">
        <v>0.07240000000000001</v>
      </c>
      <c r="S2755">
        <f>IMAGE("https://mitra.stanford.edu/kundaje/oak/projects/neuro-variants/variant_position/credible/roussos_2024/variant_figures/roussos_2024.infant.GLU/rs4857866_count_position.png",4,220,900)</f>
        <v/>
      </c>
      <c r="T2755">
        <f>IMAGE("https://mitra.stanford.edu/kundaje/oak/projects/neuro-variants/variant_position/credible/roussos_2024/variant_figures/roussos_2024.infant.GLU/rs4857866_profile_position.png",4,220,900)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0.169845836</v>
      </c>
      <c r="G2756" t="n">
        <v>0.0158721838829057</v>
      </c>
      <c r="H2756" t="n">
        <v>0.0180250648162649</v>
      </c>
      <c r="I2756" t="n">
        <v>0.2390323958420127</v>
      </c>
      <c r="J2756" t="n">
        <v>0.3119380938733217</v>
      </c>
      <c r="K2756" t="n">
        <v>0.0646848055089588</v>
      </c>
      <c r="L2756" t="b">
        <v>1</v>
      </c>
      <c r="M2756" t="b">
        <v>0</v>
      </c>
      <c r="N2756" t="inlineStr">
        <is>
          <t>alt</t>
        </is>
      </c>
      <c r="O2756" t="n">
        <v>35</v>
      </c>
      <c r="P2756" t="n">
        <v>0.005493</v>
      </c>
      <c r="Q2756" t="n">
        <v>40</v>
      </c>
      <c r="R2756" t="n">
        <v>0.1587</v>
      </c>
      <c r="S2756">
        <f>IMAGE("https://mitra.stanford.edu/kundaje/oak/projects/neuro-variants/variant_position/credible/roussos_2024/variant_figures/roussos_2024.infant.GLU/rs2999052_count_position.png",4,220,900)</f>
        <v/>
      </c>
      <c r="T2756">
        <f>IMAGE("https://mitra.stanford.edu/kundaje/oak/projects/neuro-variants/variant_position/credible/roussos_2024/variant_figures/roussos_2024.infant.GLU/rs2999052_profile_position.png",4,220,900)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0.03244510924</v>
      </c>
      <c r="G2757" t="n">
        <v>0.2877875543307643</v>
      </c>
      <c r="H2757" t="n">
        <v>0.007985722269041901</v>
      </c>
      <c r="I2757" t="n">
        <v>0.8950356259768946</v>
      </c>
      <c r="J2757" t="n">
        <v>0.2332987940651248</v>
      </c>
      <c r="K2757" t="n">
        <v>0.0924905821819418</v>
      </c>
      <c r="L2757" t="b">
        <v>0</v>
      </c>
      <c r="M2757" t="b">
        <v>0</v>
      </c>
      <c r="N2757" t="inlineStr">
        <is>
          <t>alt</t>
        </is>
      </c>
      <c r="O2757" t="n">
        <v>-100</v>
      </c>
      <c r="P2757" t="n">
        <v>0.1162</v>
      </c>
      <c r="Q2757" t="n">
        <v>-15</v>
      </c>
      <c r="R2757" t="n">
        <v>0.012695</v>
      </c>
      <c r="S2757">
        <f>IMAGE("https://mitra.stanford.edu/kundaje/oak/projects/neuro-variants/variant_position/credible/roussos_2024/variant_figures/roussos_2024.infant.GLU/rs2687729_count_position.png",4,220,900)</f>
        <v/>
      </c>
      <c r="T2757">
        <f>IMAGE("https://mitra.stanford.edu/kundaje/oak/projects/neuro-variants/variant_position/credible/roussos_2024/variant_figures/roussos_2024.infant.GLU/rs2687729_profile_position.png",4,220,900)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0.0058105901999999</v>
      </c>
      <c r="G2758" t="n">
        <v>0.6656705089453003</v>
      </c>
      <c r="H2758" t="n">
        <v>0.0281342376262922</v>
      </c>
      <c r="I2758" t="n">
        <v>0.07127676756981199</v>
      </c>
      <c r="J2758" t="n">
        <v>0.0249751978659141</v>
      </c>
      <c r="K2758" t="n">
        <v>0.4942954727482008</v>
      </c>
      <c r="L2758" t="b">
        <v>0</v>
      </c>
      <c r="M2758" t="b">
        <v>0</v>
      </c>
      <c r="N2758" t="inlineStr">
        <is>
          <t>alt</t>
        </is>
      </c>
      <c r="O2758" t="n">
        <v>-15</v>
      </c>
      <c r="P2758" t="n">
        <v>0.01196</v>
      </c>
      <c r="Q2758" t="n">
        <v>-20</v>
      </c>
      <c r="R2758" t="n">
        <v>0.02533</v>
      </c>
      <c r="S2758">
        <f>IMAGE("https://mitra.stanford.edu/kundaje/oak/projects/neuro-variants/variant_position/credible/roussos_2024/variant_figures/roussos_2024.infant.GLU/rs2999059_count_position.png",4,220,900)</f>
        <v/>
      </c>
      <c r="T2758">
        <f>IMAGE("https://mitra.stanford.edu/kundaje/oak/projects/neuro-variants/variant_position/credible/roussos_2024/variant_figures/roussos_2024.infant.GLU/rs2999059_profile_position.png",4,220,900)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0.0016762297999999</v>
      </c>
      <c r="G2759" t="n">
        <v>0.5741551232876928</v>
      </c>
      <c r="H2759" t="n">
        <v>0.0074528382467368</v>
      </c>
      <c r="I2759" t="n">
        <v>0.9369636482241293</v>
      </c>
      <c r="J2759" t="n">
        <v>0.5276328843228466</v>
      </c>
      <c r="K2759" t="n">
        <v>0.0276611249882965</v>
      </c>
      <c r="L2759" t="b">
        <v>0</v>
      </c>
      <c r="M2759" t="b">
        <v>0</v>
      </c>
      <c r="N2759" t="inlineStr">
        <is>
          <t>alt</t>
        </is>
      </c>
      <c r="O2759" t="n">
        <v>-95</v>
      </c>
      <c r="P2759" t="n">
        <v>0.02588</v>
      </c>
      <c r="Q2759" t="n">
        <v>85</v>
      </c>
      <c r="R2759" t="n">
        <v>0.1223</v>
      </c>
      <c r="S2759">
        <f>IMAGE("https://mitra.stanford.edu/kundaje/oak/projects/neuro-variants/variant_position/credible/roussos_2024/variant_figures/roussos_2024.infant.GLU/rs940062_count_position.png",4,220,900)</f>
        <v/>
      </c>
      <c r="T2759">
        <f>IMAGE("https://mitra.stanford.edu/kundaje/oak/projects/neuro-variants/variant_position/credible/roussos_2024/variant_figures/roussos_2024.infant.GLU/rs940062_profile_position.png",4,220,900)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0.008765648532</v>
      </c>
      <c r="G2760" t="n">
        <v>0.6827146959716526</v>
      </c>
      <c r="H2760" t="n">
        <v>0.0100690243843199</v>
      </c>
      <c r="I2760" t="n">
        <v>0.7324302336223217</v>
      </c>
      <c r="J2760" t="n">
        <v>0.0021869970678365</v>
      </c>
      <c r="K2760" t="n">
        <v>0.8453107057564092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0.02249</v>
      </c>
      <c r="Q2760" t="n">
        <v>-90</v>
      </c>
      <c r="R2760" t="n">
        <v>0.1137</v>
      </c>
      <c r="S2760">
        <f>IMAGE("https://mitra.stanford.edu/kundaje/oak/projects/neuro-variants/variant_position/credible/roussos_2024/variant_figures/roussos_2024.infant.GLU/rs2999058_count_position.png",4,220,900)</f>
        <v/>
      </c>
      <c r="T2760">
        <f>IMAGE("https://mitra.stanford.edu/kundaje/oak/projects/neuro-variants/variant_position/credible/roussos_2024/variant_figures/roussos_2024.infant.GLU/rs2999058_profile_position.png",4,220,900)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0.1194021999999999</v>
      </c>
      <c r="G2761" t="n">
        <v>0.0377412839445941</v>
      </c>
      <c r="H2761" t="n">
        <v>0.0140425557633395</v>
      </c>
      <c r="I2761" t="n">
        <v>0.4179252433746885</v>
      </c>
      <c r="J2761" t="n">
        <v>0.2046176062082497</v>
      </c>
      <c r="K2761" t="n">
        <v>0.1088568372416604</v>
      </c>
      <c r="L2761" t="b">
        <v>0</v>
      </c>
      <c r="M2761" t="b">
        <v>0</v>
      </c>
      <c r="N2761" t="inlineStr">
        <is>
          <t>alt</t>
        </is>
      </c>
      <c r="O2761" t="n">
        <v>-85</v>
      </c>
      <c r="P2761" t="n">
        <v>0.02238</v>
      </c>
      <c r="Q2761" t="n">
        <v>-85</v>
      </c>
      <c r="R2761" t="n">
        <v>0.0608</v>
      </c>
      <c r="S2761">
        <f>IMAGE("https://mitra.stanford.edu/kundaje/oak/projects/neuro-variants/variant_position/credible/roussos_2024/variant_figures/roussos_2024.infant.GLU/rs2955125_count_position.png",4,220,900)</f>
        <v/>
      </c>
      <c r="T2761">
        <f>IMAGE("https://mitra.stanford.edu/kundaje/oak/projects/neuro-variants/variant_position/credible/roussos_2024/variant_figures/roussos_2024.infant.GLU/rs2955125_profile_position.png",4,220,900)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0.01730972366</v>
      </c>
      <c r="G2762" t="n">
        <v>0.4471343648279682</v>
      </c>
      <c r="H2762" t="n">
        <v>0.0135614034724342</v>
      </c>
      <c r="I2762" t="n">
        <v>0.4470372082929109</v>
      </c>
      <c r="J2762" t="n">
        <v>0.1887706960029982</v>
      </c>
      <c r="K2762" t="n">
        <v>0.1159738087077767</v>
      </c>
      <c r="L2762" t="b">
        <v>0</v>
      </c>
      <c r="M2762" t="b">
        <v>0</v>
      </c>
      <c r="N2762" t="inlineStr">
        <is>
          <t>alt</t>
        </is>
      </c>
      <c r="O2762" t="n">
        <v>-60</v>
      </c>
      <c r="P2762" t="n">
        <v>0.001427</v>
      </c>
      <c r="Q2762" t="n">
        <v>-65</v>
      </c>
      <c r="R2762" t="n">
        <v>0.0116</v>
      </c>
      <c r="S2762">
        <f>IMAGE("https://mitra.stanford.edu/kundaje/oak/projects/neuro-variants/variant_position/credible/roussos_2024/variant_figures/roussos_2024.infant.GLU/rs2955127_count_position.png",4,220,900)</f>
        <v/>
      </c>
      <c r="T2762">
        <f>IMAGE("https://mitra.stanford.edu/kundaje/oak/projects/neuro-variants/variant_position/credible/roussos_2024/variant_figures/roussos_2024.infant.GLU/rs2955127_profile_position.png",4,220,900)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0.07166144620000001</v>
      </c>
      <c r="G2763" t="n">
        <v>0.0960857669513593</v>
      </c>
      <c r="H2763" t="n">
        <v>0.017492565277714</v>
      </c>
      <c r="I2763" t="n">
        <v>0.2587489596687212</v>
      </c>
      <c r="J2763" t="n">
        <v>0.1269428338367247</v>
      </c>
      <c r="K2763" t="n">
        <v>0.170678972269533</v>
      </c>
      <c r="L2763" t="b">
        <v>0</v>
      </c>
      <c r="M2763" t="b">
        <v>0</v>
      </c>
      <c r="N2763" t="inlineStr">
        <is>
          <t>alt</t>
        </is>
      </c>
      <c r="O2763" t="n">
        <v>100</v>
      </c>
      <c r="P2763" t="n">
        <v>0.1866</v>
      </c>
      <c r="Q2763" t="n">
        <v>35</v>
      </c>
      <c r="R2763" t="n">
        <v>0.04736</v>
      </c>
      <c r="S2763">
        <f>IMAGE("https://mitra.stanford.edu/kundaje/oak/projects/neuro-variants/variant_position/credible/roussos_2024/variant_figures/roussos_2024.infant.GLU/rs2955128_count_position.png",4,220,900)</f>
        <v/>
      </c>
      <c r="T2763">
        <f>IMAGE("https://mitra.stanford.edu/kundaje/oak/projects/neuro-variants/variant_position/credible/roussos_2024/variant_figures/roussos_2024.infant.GLU/rs2955128_profile_position.png",4,220,900)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-0.02140875912</v>
      </c>
      <c r="G2764" t="n">
        <v>0.4458757223158976</v>
      </c>
      <c r="H2764" t="n">
        <v>0.0113745131968953</v>
      </c>
      <c r="I2764" t="n">
        <v>0.6117183185492244</v>
      </c>
      <c r="J2764" t="n">
        <v>0.1565808329107784</v>
      </c>
      <c r="K2764" t="n">
        <v>0.1412551295127344</v>
      </c>
      <c r="L2764" t="b">
        <v>0</v>
      </c>
      <c r="M2764" t="b">
        <v>0</v>
      </c>
      <c r="N2764" t="inlineStr">
        <is>
          <t>ref</t>
        </is>
      </c>
      <c r="O2764" t="n">
        <v>100</v>
      </c>
      <c r="P2764" t="n">
        <v>0.141</v>
      </c>
      <c r="Q2764" t="n">
        <v>100</v>
      </c>
      <c r="R2764" t="n">
        <v>0.2108</v>
      </c>
      <c r="S2764">
        <f>IMAGE("https://mitra.stanford.edu/kundaje/oak/projects/neuro-variants/variant_position/credible/roussos_2024/variant_figures/roussos_2024.infant.GLU/rs4384971_count_position.png",4,220,900)</f>
        <v/>
      </c>
      <c r="T2764">
        <f>IMAGE("https://mitra.stanford.edu/kundaje/oak/projects/neuro-variants/variant_position/credible/roussos_2024/variant_figures/roussos_2024.infant.GLU/rs4384971_profile_position.png",4,220,900)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-0.01222698928</v>
      </c>
      <c r="G2765" t="n">
        <v>0.5530312637205036</v>
      </c>
      <c r="H2765" t="n">
        <v>0.008063202020616301</v>
      </c>
      <c r="I2765" t="n">
        <v>0.899077581990557</v>
      </c>
      <c r="J2765" t="n">
        <v>0.0139432086245287</v>
      </c>
      <c r="K2765" t="n">
        <v>0.6092469004794099</v>
      </c>
      <c r="L2765" t="b">
        <v>0</v>
      </c>
      <c r="M2765" t="b">
        <v>0</v>
      </c>
      <c r="N2765" t="inlineStr">
        <is>
          <t>ref</t>
        </is>
      </c>
      <c r="O2765" t="n">
        <v>100</v>
      </c>
      <c r="P2765" t="n">
        <v>0.00551</v>
      </c>
      <c r="Q2765" t="n">
        <v>10</v>
      </c>
      <c r="R2765" t="n">
        <v>0.01358</v>
      </c>
      <c r="S2765">
        <f>IMAGE("https://mitra.stanford.edu/kundaje/oak/projects/neuro-variants/variant_position/credible/roussos_2024/variant_figures/roussos_2024.infant.GLU/rs6775988_count_position.png",4,220,900)</f>
        <v/>
      </c>
      <c r="T2765">
        <f>IMAGE("https://mitra.stanford.edu/kundaje/oak/projects/neuro-variants/variant_position/credible/roussos_2024/variant_figures/roussos_2024.infant.GLU/rs6775988_profile_position.png",4,220,900)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0.09881865400000001</v>
      </c>
      <c r="G2766" t="n">
        <v>0.0506921988366685</v>
      </c>
      <c r="H2766" t="n">
        <v>0.021685889147742</v>
      </c>
      <c r="I2766" t="n">
        <v>0.1527328991808079</v>
      </c>
      <c r="J2766" t="n">
        <v>0.1075078815670539</v>
      </c>
      <c r="K2766" t="n">
        <v>0.2028946442073748</v>
      </c>
      <c r="L2766" t="b">
        <v>0</v>
      </c>
      <c r="M2766" t="b">
        <v>0</v>
      </c>
      <c r="N2766" t="inlineStr">
        <is>
          <t>alt</t>
        </is>
      </c>
      <c r="O2766" t="n">
        <v>-100</v>
      </c>
      <c r="P2766" t="n">
        <v>0.01797</v>
      </c>
      <c r="Q2766" t="n">
        <v>-50</v>
      </c>
      <c r="R2766" t="n">
        <v>0.1372</v>
      </c>
      <c r="S2766">
        <f>IMAGE("https://mitra.stanford.edu/kundaje/oak/projects/neuro-variants/variant_position/credible/roussos_2024/variant_figures/roussos_2024.infant.GLU/rs4857877_count_position.png",4,220,900)</f>
        <v/>
      </c>
      <c r="T2766">
        <f>IMAGE("https://mitra.stanford.edu/kundaje/oak/projects/neuro-variants/variant_position/credible/roussos_2024/variant_figures/roussos_2024.infant.GLU/rs4857877_profile_position.png",4,220,900)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0.003088603406</v>
      </c>
      <c r="G2767" t="n">
        <v>0.8005671727986484</v>
      </c>
      <c r="H2767" t="n">
        <v>0.0272553245668885</v>
      </c>
      <c r="I2767" t="n">
        <v>0.0780973785235269</v>
      </c>
      <c r="J2767" t="n">
        <v>0.0570393968120989</v>
      </c>
      <c r="K2767" t="n">
        <v>0.3130008974660478</v>
      </c>
      <c r="L2767" t="b">
        <v>0</v>
      </c>
      <c r="M2767" t="b">
        <v>0</v>
      </c>
      <c r="N2767" t="inlineStr">
        <is>
          <t>alt</t>
        </is>
      </c>
      <c r="O2767" t="n">
        <v>-100</v>
      </c>
      <c r="P2767" t="n">
        <v>0.03864</v>
      </c>
      <c r="Q2767" t="n">
        <v>-85</v>
      </c>
      <c r="R2767" t="n">
        <v>0.1449</v>
      </c>
      <c r="S2767">
        <f>IMAGE("https://mitra.stanford.edu/kundaje/oak/projects/neuro-variants/variant_position/credible/roussos_2024/variant_figures/roussos_2024.infant.GLU/rs3849531_count_position.png",4,220,900)</f>
        <v/>
      </c>
      <c r="T2767">
        <f>IMAGE("https://mitra.stanford.edu/kundaje/oak/projects/neuro-variants/variant_position/credible/roussos_2024/variant_figures/roussos_2024.infant.GLU/rs3849531_profile_position.png",4,220,900)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0.1243082112</v>
      </c>
      <c r="G2768" t="n">
        <v>0.0332535128910173</v>
      </c>
      <c r="H2768" t="n">
        <v>0.0437157814827409</v>
      </c>
      <c r="I2768" t="n">
        <v>0.0139293296156203</v>
      </c>
      <c r="J2768" t="n">
        <v>0.2200335104389426</v>
      </c>
      <c r="K2768" t="n">
        <v>0.09753099898503</v>
      </c>
      <c r="L2768" t="b">
        <v>1</v>
      </c>
      <c r="M2768" t="b">
        <v>0</v>
      </c>
      <c r="N2768" t="inlineStr">
        <is>
          <t>alt</t>
        </is>
      </c>
      <c r="O2768" t="n">
        <v>-95</v>
      </c>
      <c r="P2768" t="n">
        <v>0.02136</v>
      </c>
      <c r="Q2768" t="n">
        <v>-30</v>
      </c>
      <c r="R2768" t="n">
        <v>0.1362</v>
      </c>
      <c r="S2768">
        <f>IMAGE("https://mitra.stanford.edu/kundaje/oak/projects/neuro-variants/variant_position/credible/roussos_2024/variant_figures/roussos_2024.infant.GLU/rs1403770_count_position.png",4,220,900)</f>
        <v/>
      </c>
      <c r="T2768">
        <f>IMAGE("https://mitra.stanford.edu/kundaje/oak/projects/neuro-variants/variant_position/credible/roussos_2024/variant_figures/roussos_2024.infant.GLU/rs1403770_profile_position.png",4,220,900)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0.0502085485999999</v>
      </c>
      <c r="G2769" t="n">
        <v>0.1691783433489387</v>
      </c>
      <c r="H2769" t="n">
        <v>0.0198152057001428</v>
      </c>
      <c r="I2769" t="n">
        <v>0.1898328132406321</v>
      </c>
      <c r="J2769" t="n">
        <v>0.8891686324654424</v>
      </c>
      <c r="K2769" t="n">
        <v>0.003778632682243</v>
      </c>
      <c r="L2769" t="b">
        <v>0</v>
      </c>
      <c r="M2769" t="b">
        <v>0</v>
      </c>
      <c r="N2769" t="inlineStr">
        <is>
          <t>alt</t>
        </is>
      </c>
      <c r="O2769" t="n">
        <v>90</v>
      </c>
      <c r="P2769" t="n">
        <v>0.01001</v>
      </c>
      <c r="Q2769" t="n">
        <v>90</v>
      </c>
      <c r="R2769" t="n">
        <v>0.1848</v>
      </c>
      <c r="S2769">
        <f>IMAGE("https://mitra.stanford.edu/kundaje/oak/projects/neuro-variants/variant_position/credible/roussos_2024/variant_figures/roussos_2024.infant.GLU/rs184442184_count_position.png",4,220,900)</f>
        <v/>
      </c>
      <c r="T2769">
        <f>IMAGE("https://mitra.stanford.edu/kundaje/oak/projects/neuro-variants/variant_position/credible/roussos_2024/variant_figures/roussos_2024.infant.GLU/rs184442184_profile_position.png",4,220,900)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-0.0623611934</v>
      </c>
      <c r="G2770" t="n">
        <v>0.1231309977148926</v>
      </c>
      <c r="H2770" t="n">
        <v>0.0121489468457331</v>
      </c>
      <c r="I2770" t="n">
        <v>0.5479173054679557</v>
      </c>
      <c r="J2770" t="n">
        <v>0.3800590841949777</v>
      </c>
      <c r="K2770" t="n">
        <v>0.0487645387960206</v>
      </c>
      <c r="L2770" t="b">
        <v>0</v>
      </c>
      <c r="M2770" t="b">
        <v>0</v>
      </c>
      <c r="N2770" t="inlineStr">
        <is>
          <t>ref</t>
        </is>
      </c>
      <c r="O2770" t="n">
        <v>90</v>
      </c>
      <c r="P2770" t="n">
        <v>0.01772</v>
      </c>
      <c r="Q2770" t="n">
        <v>70</v>
      </c>
      <c r="R2770" t="n">
        <v>0.2983</v>
      </c>
      <c r="S2770">
        <f>IMAGE("https://mitra.stanford.edu/kundaje/oak/projects/neuro-variants/variant_position/credible/roussos_2024/variant_figures/roussos_2024.infant.GLU/rs9862763_count_position.png",4,220,900)</f>
        <v/>
      </c>
      <c r="T2770">
        <f>IMAGE("https://mitra.stanford.edu/kundaje/oak/projects/neuro-variants/variant_position/credible/roussos_2024/variant_figures/roussos_2024.infant.GLU/rs9862763_profile_position.png",4,220,900)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-0.494238782</v>
      </c>
      <c r="G2771" t="n">
        <v>0.0004292099763864</v>
      </c>
      <c r="H2771" t="n">
        <v>0.0526158028644894</v>
      </c>
      <c r="I2771" t="n">
        <v>0.0062638620469667</v>
      </c>
      <c r="J2771" t="n">
        <v>0.5782942745651358</v>
      </c>
      <c r="K2771" t="n">
        <v>0.0232511663004285</v>
      </c>
      <c r="L2771" t="b">
        <v>1</v>
      </c>
      <c r="M2771" t="b">
        <v>1</v>
      </c>
      <c r="N2771" t="inlineStr">
        <is>
          <t>ref</t>
        </is>
      </c>
      <c r="O2771" t="n">
        <v>-85</v>
      </c>
      <c r="P2771" t="n">
        <v>0.00482</v>
      </c>
      <c r="Q2771" t="n">
        <v>-85</v>
      </c>
      <c r="R2771" t="n">
        <v>0.08887</v>
      </c>
      <c r="S2771">
        <f>IMAGE("https://mitra.stanford.edu/kundaje/oak/projects/neuro-variants/variant_position/credible/roussos_2024/variant_figures/roussos_2024.infant.GLU/rs9836374_count_position.png",4,220,900)</f>
        <v/>
      </c>
      <c r="T2771">
        <f>IMAGE("https://mitra.stanford.edu/kundaje/oak/projects/neuro-variants/variant_position/credible/roussos_2024/variant_figures/roussos_2024.infant.GLU/rs9836374_profile_position.png",4,220,900)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-0.151544296</v>
      </c>
      <c r="G2772" t="n">
        <v>0.021161594763571</v>
      </c>
      <c r="H2772" t="n">
        <v>0.0211291526986137</v>
      </c>
      <c r="I2772" t="n">
        <v>0.1682471693385575</v>
      </c>
      <c r="J2772" t="n">
        <v>0.1501598359752198</v>
      </c>
      <c r="K2772" t="n">
        <v>0.1454305960319228</v>
      </c>
      <c r="L2772" t="b">
        <v>0</v>
      </c>
      <c r="M2772" t="b">
        <v>0</v>
      </c>
      <c r="N2772" t="inlineStr">
        <is>
          <t>ref</t>
        </is>
      </c>
      <c r="O2772" t="n">
        <v>30</v>
      </c>
      <c r="P2772" t="n">
        <v>0.01193</v>
      </c>
      <c r="Q2772" t="n">
        <v>80</v>
      </c>
      <c r="R2772" t="n">
        <v>0.05716</v>
      </c>
      <c r="S2772">
        <f>IMAGE("https://mitra.stanford.edu/kundaje/oak/projects/neuro-variants/variant_position/credible/roussos_2024/variant_figures/roussos_2024.infant.GLU/rs34311570_count_position.png",4,220,900)</f>
        <v/>
      </c>
      <c r="T2772">
        <f>IMAGE("https://mitra.stanford.edu/kundaje/oak/projects/neuro-variants/variant_position/credible/roussos_2024/variant_figures/roussos_2024.infant.GLU/rs34311570_profile_position.png",4,220,900)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0.0762470854</v>
      </c>
      <c r="G2773" t="n">
        <v>0.131112551173087</v>
      </c>
      <c r="H2773" t="n">
        <v>0.0204934414560423</v>
      </c>
      <c r="I2773" t="n">
        <v>0.1815536813634644</v>
      </c>
      <c r="J2773" t="n">
        <v>0.0331687206508079</v>
      </c>
      <c r="K2773" t="n">
        <v>0.4396680791459358</v>
      </c>
      <c r="L2773" t="b">
        <v>0</v>
      </c>
      <c r="M2773" t="b">
        <v>0</v>
      </c>
      <c r="N2773" t="inlineStr">
        <is>
          <t>alt</t>
        </is>
      </c>
      <c r="O2773" t="n">
        <v>-85</v>
      </c>
      <c r="P2773" t="n">
        <v>0.01498</v>
      </c>
      <c r="Q2773" t="n">
        <v>-75</v>
      </c>
      <c r="R2773" t="n">
        <v>0.0788</v>
      </c>
      <c r="S2773">
        <f>IMAGE("https://mitra.stanford.edu/kundaje/oak/projects/neuro-variants/variant_position/credible/roussos_2024/variant_figures/roussos_2024.infant.GLU/rs6809006_count_position.png",4,220,900)</f>
        <v/>
      </c>
      <c r="T2773">
        <f>IMAGE("https://mitra.stanford.edu/kundaje/oak/projects/neuro-variants/variant_position/credible/roussos_2024/variant_figures/roussos_2024.infant.GLU/rs6809006_profile_position.png",4,220,900)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0.008485137760000001</v>
      </c>
      <c r="G2774" t="n">
        <v>0.6172285304863772</v>
      </c>
      <c r="H2774" t="n">
        <v>0.0390465310514816</v>
      </c>
      <c r="I2774" t="n">
        <v>0.0228887969808884</v>
      </c>
      <c r="J2774" t="n">
        <v>0.0579455014440353</v>
      </c>
      <c r="K2774" t="n">
        <v>0.3162867156661241</v>
      </c>
      <c r="L2774" t="b">
        <v>0</v>
      </c>
      <c r="M2774" t="b">
        <v>0</v>
      </c>
      <c r="N2774" t="inlineStr">
        <is>
          <t>alt</t>
        </is>
      </c>
      <c r="O2774" t="n">
        <v>-45</v>
      </c>
      <c r="P2774" t="n">
        <v>0.01044</v>
      </c>
      <c r="Q2774" t="n">
        <v>-20</v>
      </c>
      <c r="R2774" t="n">
        <v>0.00757</v>
      </c>
      <c r="S2774">
        <f>IMAGE("https://mitra.stanford.edu/kundaje/oak/projects/neuro-variants/variant_position/credible/roussos_2024/variant_figures/roussos_2024.infant.GLU/rs4073308_count_position.png",4,220,900)</f>
        <v/>
      </c>
      <c r="T2774">
        <f>IMAGE("https://mitra.stanford.edu/kundaje/oak/projects/neuro-variants/variant_position/credible/roussos_2024/variant_figures/roussos_2024.infant.GLU/rs4073308_profile_position.png",4,220,900)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0.0013400698899999</v>
      </c>
      <c r="G2775" t="n">
        <v>0.8253229404631417</v>
      </c>
      <c r="H2775" t="n">
        <v>0.0214453433181235</v>
      </c>
      <c r="I2775" t="n">
        <v>0.1535142667201239</v>
      </c>
      <c r="J2775" t="n">
        <v>0.022970083114707</v>
      </c>
      <c r="K2775" t="n">
        <v>0.507879436337043</v>
      </c>
      <c r="L2775" t="b">
        <v>0</v>
      </c>
      <c r="M2775" t="b">
        <v>0</v>
      </c>
      <c r="N2775" t="inlineStr">
        <is>
          <t>alt</t>
        </is>
      </c>
      <c r="O2775" t="n">
        <v>-75</v>
      </c>
      <c r="P2775" t="n">
        <v>0.00818</v>
      </c>
      <c r="Q2775" t="n">
        <v>-60</v>
      </c>
      <c r="R2775" t="n">
        <v>0.02582</v>
      </c>
      <c r="S2775">
        <f>IMAGE("https://mitra.stanford.edu/kundaje/oak/projects/neuro-variants/variant_position/credible/roussos_2024/variant_figures/roussos_2024.infant.GLU/rs9877082_count_position.png",4,220,900)</f>
        <v/>
      </c>
      <c r="T2775">
        <f>IMAGE("https://mitra.stanford.edu/kundaje/oak/projects/neuro-variants/variant_position/credible/roussos_2024/variant_figures/roussos_2024.infant.GLU/rs9877082_profile_position.png",4,220,900)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0.032782985</v>
      </c>
      <c r="G2776" t="n">
        <v>0.3121124105631049</v>
      </c>
      <c r="H2776" t="n">
        <v>0.0312602904480618</v>
      </c>
      <c r="I2776" t="n">
        <v>0.0511097520794647</v>
      </c>
      <c r="J2776" t="n">
        <v>0.3327796027249278</v>
      </c>
      <c r="K2776" t="n">
        <v>0.0588763635450292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0.02002</v>
      </c>
      <c r="Q2776" t="n">
        <v>-100</v>
      </c>
      <c r="R2776" t="n">
        <v>0.1141</v>
      </c>
      <c r="S2776">
        <f>IMAGE("https://mitra.stanford.edu/kundaje/oak/projects/neuro-variants/variant_position/credible/roussos_2024/variant_figures/roussos_2024.infant.GLU/rs7643661_count_position.png",4,220,900)</f>
        <v/>
      </c>
      <c r="T2776">
        <f>IMAGE("https://mitra.stanford.edu/kundaje/oak/projects/neuro-variants/variant_position/credible/roussos_2024/variant_figures/roussos_2024.infant.GLU/rs7643661_profile_position.png",4,220,900)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-0.0073366702</v>
      </c>
      <c r="G2777" t="n">
        <v>0.6598230479515781</v>
      </c>
      <c r="H2777" t="n">
        <v>0.0401278489936479</v>
      </c>
      <c r="I2777" t="n">
        <v>0.0201075051414968</v>
      </c>
      <c r="J2777" t="n">
        <v>0.0121475341167132</v>
      </c>
      <c r="K2777" t="n">
        <v>0.6271360317499052</v>
      </c>
      <c r="L2777" t="b">
        <v>0</v>
      </c>
      <c r="M2777" t="b">
        <v>0</v>
      </c>
      <c r="N2777" t="inlineStr">
        <is>
          <t>ref</t>
        </is>
      </c>
      <c r="O2777" t="n">
        <v>-100</v>
      </c>
      <c r="P2777" t="n">
        <v>0.01306</v>
      </c>
      <c r="Q2777" t="n">
        <v>0</v>
      </c>
      <c r="R2777" t="n">
        <v>0</v>
      </c>
      <c r="S2777">
        <f>IMAGE("https://mitra.stanford.edu/kundaje/oak/projects/neuro-variants/variant_position/credible/roussos_2024/variant_figures/roussos_2024.infant.GLU/rs9837355_count_position.png",4,220,900)</f>
        <v/>
      </c>
      <c r="T2777">
        <f>IMAGE("https://mitra.stanford.edu/kundaje/oak/projects/neuro-variants/variant_position/credible/roussos_2024/variant_figures/roussos_2024.infant.GLU/rs9837355_profile_position.png",4,220,900)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-0.1488683828</v>
      </c>
      <c r="G2778" t="n">
        <v>0.0236530862802981</v>
      </c>
      <c r="H2778" t="n">
        <v>0.0216494907714545</v>
      </c>
      <c r="I2778" t="n">
        <v>0.1559948713713684</v>
      </c>
      <c r="J2778" t="n">
        <v>0.2838708966247051</v>
      </c>
      <c r="K2778" t="n">
        <v>0.0725653036569999</v>
      </c>
      <c r="L2778" t="b">
        <v>0</v>
      </c>
      <c r="M2778" t="b">
        <v>0</v>
      </c>
      <c r="N2778" t="inlineStr">
        <is>
          <t>ref</t>
        </is>
      </c>
      <c r="O2778" t="n">
        <v>-100</v>
      </c>
      <c r="P2778" t="n">
        <v>0.001984</v>
      </c>
      <c r="Q2778" t="n">
        <v>-100</v>
      </c>
      <c r="R2778" t="n">
        <v>0.2507</v>
      </c>
      <c r="S2778">
        <f>IMAGE("https://mitra.stanford.edu/kundaje/oak/projects/neuro-variants/variant_position/credible/roussos_2024/variant_figures/roussos_2024.infant.GLU/rs9880721_count_position.png",4,220,900)</f>
        <v/>
      </c>
      <c r="T2778">
        <f>IMAGE("https://mitra.stanford.edu/kundaje/oak/projects/neuro-variants/variant_position/credible/roussos_2024/variant_figures/roussos_2024.infant.GLU/rs9880721_profile_position.png",4,220,900)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-0.0472781054</v>
      </c>
      <c r="G2779" t="n">
        <v>0.2045780942277862</v>
      </c>
      <c r="H2779" t="n">
        <v>0.0126130465256992</v>
      </c>
      <c r="I2779" t="n">
        <v>0.5137343111758834</v>
      </c>
      <c r="J2779" t="n">
        <v>0.0392579201481513</v>
      </c>
      <c r="K2779" t="n">
        <v>0.3966841752502406</v>
      </c>
      <c r="L2779" t="b">
        <v>0</v>
      </c>
      <c r="M2779" t="b">
        <v>0</v>
      </c>
      <c r="N2779" t="inlineStr">
        <is>
          <t>ref</t>
        </is>
      </c>
      <c r="O2779" t="n">
        <v>-30</v>
      </c>
      <c r="P2779" t="n">
        <v>0.006104</v>
      </c>
      <c r="Q2779" t="n">
        <v>-100</v>
      </c>
      <c r="R2779" t="n">
        <v>0.03577</v>
      </c>
      <c r="S2779">
        <f>IMAGE("https://mitra.stanford.edu/kundaje/oak/projects/neuro-variants/variant_position/credible/roussos_2024/variant_figures/roussos_2024.infant.GLU/rs34864445_count_position.png",4,220,900)</f>
        <v/>
      </c>
      <c r="T2779">
        <f>IMAGE("https://mitra.stanford.edu/kundaje/oak/projects/neuro-variants/variant_position/credible/roussos_2024/variant_figures/roussos_2024.infant.GLU/rs34864445_profile_position.png",4,220,900)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-0.06454159919999999</v>
      </c>
      <c r="G2780" t="n">
        <v>0.1262907648761488</v>
      </c>
      <c r="H2780" t="n">
        <v>0.01234764475488</v>
      </c>
      <c r="I2780" t="n">
        <v>0.5290977067030075</v>
      </c>
      <c r="J2780" t="n">
        <v>0.07589232566855519</v>
      </c>
      <c r="K2780" t="n">
        <v>0.2670639769819399</v>
      </c>
      <c r="L2780" t="b">
        <v>0</v>
      </c>
      <c r="M2780" t="b">
        <v>0</v>
      </c>
      <c r="N2780" t="inlineStr">
        <is>
          <t>ref</t>
        </is>
      </c>
      <c r="O2780" t="n">
        <v>-55</v>
      </c>
      <c r="P2780" t="n">
        <v>0.002655</v>
      </c>
      <c r="Q2780" t="n">
        <v>-20</v>
      </c>
      <c r="R2780" t="n">
        <v>0.00903</v>
      </c>
      <c r="S2780">
        <f>IMAGE("https://mitra.stanford.edu/kundaje/oak/projects/neuro-variants/variant_position/credible/roussos_2024/variant_figures/roussos_2024.infant.GLU/rs9881400_count_position.png",4,220,900)</f>
        <v/>
      </c>
      <c r="T2780">
        <f>IMAGE("https://mitra.stanford.edu/kundaje/oak/projects/neuro-variants/variant_position/credible/roussos_2024/variant_figures/roussos_2024.infant.GLU/rs9881400_profile_position.png",4,220,900)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-0.0240796576</v>
      </c>
      <c r="G2781" t="n">
        <v>0.3922478929864224</v>
      </c>
      <c r="H2781" t="n">
        <v>0.0307392570676851</v>
      </c>
      <c r="I2781" t="n">
        <v>0.0537071510223992</v>
      </c>
      <c r="J2781" t="n">
        <v>0.0895621596596044</v>
      </c>
      <c r="K2781" t="n">
        <v>0.2341641718148412</v>
      </c>
      <c r="L2781" t="b">
        <v>0</v>
      </c>
      <c r="M2781" t="b">
        <v>0</v>
      </c>
      <c r="N2781" t="inlineStr">
        <is>
          <t>ref</t>
        </is>
      </c>
      <c r="O2781" t="n">
        <v>-100</v>
      </c>
      <c r="P2781" t="n">
        <v>0.2869</v>
      </c>
      <c r="Q2781" t="n">
        <v>-95</v>
      </c>
      <c r="R2781" t="n">
        <v>0.212</v>
      </c>
      <c r="S2781">
        <f>IMAGE("https://mitra.stanford.edu/kundaje/oak/projects/neuro-variants/variant_position/credible/roussos_2024/variant_figures/roussos_2024.infant.GLU/rs6769762_count_position.png",4,220,900)</f>
        <v/>
      </c>
      <c r="T2781">
        <f>IMAGE("https://mitra.stanford.edu/kundaje/oak/projects/neuro-variants/variant_position/credible/roussos_2024/variant_figures/roussos_2024.infant.GLU/rs6769762_profile_position.png",4,220,900)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-0.00094170456</v>
      </c>
      <c r="G2782" t="n">
        <v>0.7155710736966602</v>
      </c>
      <c r="H2782" t="n">
        <v>0.0102319371426367</v>
      </c>
      <c r="I2782" t="n">
        <v>0.698663292698931</v>
      </c>
      <c r="J2782" t="n">
        <v>0.0021406997508762</v>
      </c>
      <c r="K2782" t="n">
        <v>0.8414078733388191</v>
      </c>
      <c r="L2782" t="b">
        <v>0</v>
      </c>
      <c r="M2782" t="b">
        <v>0</v>
      </c>
      <c r="N2782" t="inlineStr">
        <is>
          <t>ref</t>
        </is>
      </c>
      <c r="O2782" t="n">
        <v>-10</v>
      </c>
      <c r="P2782" t="n">
        <v>0.001465</v>
      </c>
      <c r="Q2782" t="n">
        <v>80</v>
      </c>
      <c r="R2782" t="n">
        <v>0.0169</v>
      </c>
      <c r="S2782">
        <f>IMAGE("https://mitra.stanford.edu/kundaje/oak/projects/neuro-variants/variant_position/credible/roussos_2024/variant_figures/roussos_2024.infant.GLU/rs28631273_count_position.png",4,220,900)</f>
        <v/>
      </c>
      <c r="T2782">
        <f>IMAGE("https://mitra.stanford.edu/kundaje/oak/projects/neuro-variants/variant_position/credible/roussos_2024/variant_figures/roussos_2024.infant.GLU/rs28631273_profile_position.png",4,220,900)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0.099804377</v>
      </c>
      <c r="G2783" t="n">
        <v>0.0509591655925616</v>
      </c>
      <c r="H2783" t="n">
        <v>0.0298364341050743</v>
      </c>
      <c r="I2783" t="n">
        <v>0.0595402526561434</v>
      </c>
      <c r="J2783" t="n">
        <v>0.0244945876231838</v>
      </c>
      <c r="K2783" t="n">
        <v>0.5072790473845447</v>
      </c>
      <c r="L2783" t="b">
        <v>0</v>
      </c>
      <c r="M2783" t="b">
        <v>0</v>
      </c>
      <c r="N2783" t="inlineStr">
        <is>
          <t>alt</t>
        </is>
      </c>
      <c r="O2783" t="n">
        <v>-100</v>
      </c>
      <c r="P2783" t="n">
        <v>0.005173</v>
      </c>
      <c r="Q2783" t="n">
        <v>-70</v>
      </c>
      <c r="R2783" t="n">
        <v>0.02551</v>
      </c>
      <c r="S2783">
        <f>IMAGE("https://mitra.stanford.edu/kundaje/oak/projects/neuro-variants/variant_position/credible/roussos_2024/variant_figures/roussos_2024.infant.GLU/rs9826454_count_position.png",4,220,900)</f>
        <v/>
      </c>
      <c r="T2783">
        <f>IMAGE("https://mitra.stanford.edu/kundaje/oak/projects/neuro-variants/variant_position/credible/roussos_2024/variant_figures/roussos_2024.infant.GLU/rs9826454_profile_position.png",4,220,900)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-0.0582458924</v>
      </c>
      <c r="G2784" t="n">
        <v>0.1391478539405252</v>
      </c>
      <c r="H2784" t="n">
        <v>0.012469126335851</v>
      </c>
      <c r="I2784" t="n">
        <v>0.5214489215844783</v>
      </c>
      <c r="J2784" t="n">
        <v>0.0056460680350095</v>
      </c>
      <c r="K2784" t="n">
        <v>0.7392504037503406</v>
      </c>
      <c r="L2784" t="b">
        <v>0</v>
      </c>
      <c r="M2784" t="b">
        <v>0</v>
      </c>
      <c r="N2784" t="inlineStr">
        <is>
          <t>ref</t>
        </is>
      </c>
      <c r="O2784" t="n">
        <v>55</v>
      </c>
      <c r="P2784" t="n">
        <v>0.00512</v>
      </c>
      <c r="Q2784" t="n">
        <v>55</v>
      </c>
      <c r="R2784" t="n">
        <v>0.03592</v>
      </c>
      <c r="S2784">
        <f>IMAGE("https://mitra.stanford.edu/kundaje/oak/projects/neuro-variants/variant_position/credible/roussos_2024/variant_figures/roussos_2024.infant.GLU/rs661739_count_position.png",4,220,900)</f>
        <v/>
      </c>
      <c r="T2784">
        <f>IMAGE("https://mitra.stanford.edu/kundaje/oak/projects/neuro-variants/variant_position/credible/roussos_2024/variant_figures/roussos_2024.infant.GLU/rs661739_profile_position.png",4,220,900)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0.009475934833999999</v>
      </c>
      <c r="G2785" t="n">
        <v>0.6437852543624942</v>
      </c>
      <c r="H2785" t="n">
        <v>0.0217951146022644</v>
      </c>
      <c r="I2785" t="n">
        <v>0.1478564349096048</v>
      </c>
      <c r="J2785" t="n">
        <v>0.0197017130007274</v>
      </c>
      <c r="K2785" t="n">
        <v>0.5409658418189232</v>
      </c>
      <c r="L2785" t="b">
        <v>0</v>
      </c>
      <c r="M2785" t="b">
        <v>0</v>
      </c>
      <c r="N2785" t="inlineStr">
        <is>
          <t>alt</t>
        </is>
      </c>
      <c r="O2785" t="n">
        <v>-100</v>
      </c>
      <c r="P2785" t="n">
        <v>0.003082</v>
      </c>
      <c r="Q2785" t="n">
        <v>-100</v>
      </c>
      <c r="R2785" t="n">
        <v>0.08690000000000001</v>
      </c>
      <c r="S2785">
        <f>IMAGE("https://mitra.stanford.edu/kundaje/oak/projects/neuro-variants/variant_position/credible/roussos_2024/variant_figures/roussos_2024.infant.GLU/rs1153877_count_position.png",4,220,900)</f>
        <v/>
      </c>
      <c r="T2785">
        <f>IMAGE("https://mitra.stanford.edu/kundaje/oak/projects/neuro-variants/variant_position/credible/roussos_2024/variant_figures/roussos_2024.infant.GLU/rs1153877_profile_position.png",4,220,900)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-0.0030781603399999</v>
      </c>
      <c r="G2786" t="n">
        <v>0.8730037618638021</v>
      </c>
      <c r="H2786" t="n">
        <v>0.0442505539899807</v>
      </c>
      <c r="I2786" t="n">
        <v>0.0131820952539806</v>
      </c>
      <c r="J2786" t="n">
        <v>0.4797680724883705</v>
      </c>
      <c r="K2786" t="n">
        <v>0.0334561756446291</v>
      </c>
      <c r="L2786" t="b">
        <v>1</v>
      </c>
      <c r="M2786" t="b">
        <v>0</v>
      </c>
      <c r="N2786" t="inlineStr">
        <is>
          <t>ref</t>
        </is>
      </c>
      <c r="O2786" t="n">
        <v>-95</v>
      </c>
      <c r="P2786" t="n">
        <v>0.00598</v>
      </c>
      <c r="Q2786" t="n">
        <v>-100</v>
      </c>
      <c r="R2786" t="n">
        <v>0.277</v>
      </c>
      <c r="S2786">
        <f>IMAGE("https://mitra.stanford.edu/kundaje/oak/projects/neuro-variants/variant_position/credible/roussos_2024/variant_figures/roussos_2024.infant.GLU/rs146516051_count_position.png",4,220,900)</f>
        <v/>
      </c>
      <c r="T2786">
        <f>IMAGE("https://mitra.stanford.edu/kundaje/oak/projects/neuro-variants/variant_position/credible/roussos_2024/variant_figures/roussos_2024.infant.GLU/rs146516051_profile_position.png",4,220,900)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-0.0303394777999999</v>
      </c>
      <c r="G2787" t="n">
        <v>0.3201845264617493</v>
      </c>
      <c r="H2787" t="n">
        <v>0.0384987132046651</v>
      </c>
      <c r="I2787" t="n">
        <v>0.0235690884464328</v>
      </c>
      <c r="J2787" t="n">
        <v>0.0550772724266407</v>
      </c>
      <c r="K2787" t="n">
        <v>0.3227314243892783</v>
      </c>
      <c r="L2787" t="b">
        <v>0</v>
      </c>
      <c r="M2787" t="b">
        <v>0</v>
      </c>
      <c r="N2787" t="inlineStr">
        <is>
          <t>ref</t>
        </is>
      </c>
      <c r="O2787" t="n">
        <v>-100</v>
      </c>
      <c r="P2787" t="n">
        <v>0.05295</v>
      </c>
      <c r="Q2787" t="n">
        <v>-95</v>
      </c>
      <c r="R2787" t="n">
        <v>0.0564</v>
      </c>
      <c r="S2787">
        <f>IMAGE("https://mitra.stanford.edu/kundaje/oak/projects/neuro-variants/variant_position/credible/roussos_2024/variant_figures/roussos_2024.infant.GLU/rs480162_count_position.png",4,220,900)</f>
        <v/>
      </c>
      <c r="T2787">
        <f>IMAGE("https://mitra.stanford.edu/kundaje/oak/projects/neuro-variants/variant_position/credible/roussos_2024/variant_figures/roussos_2024.infant.GLU/rs480162_profile_position.png",4,220,900)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0.0293449854</v>
      </c>
      <c r="G2788" t="n">
        <v>0.3425936015652572</v>
      </c>
      <c r="H2788" t="n">
        <v>0.0253403888035918</v>
      </c>
      <c r="I2788" t="n">
        <v>0.0973861644907611</v>
      </c>
      <c r="J2788" t="n">
        <v>0.0189774906854207</v>
      </c>
      <c r="K2788" t="n">
        <v>0.5516411849248916</v>
      </c>
      <c r="L2788" t="b">
        <v>0</v>
      </c>
      <c r="M2788" t="b">
        <v>0</v>
      </c>
      <c r="N2788" t="inlineStr">
        <is>
          <t>alt</t>
        </is>
      </c>
      <c r="O2788" t="n">
        <v>100</v>
      </c>
      <c r="P2788" t="n">
        <v>0.004425</v>
      </c>
      <c r="Q2788" t="n">
        <v>30</v>
      </c>
      <c r="R2788" t="n">
        <v>0.0696</v>
      </c>
      <c r="S2788">
        <f>IMAGE("https://mitra.stanford.edu/kundaje/oak/projects/neuro-variants/variant_position/credible/roussos_2024/variant_figures/roussos_2024.infant.GLU/rs35418151_count_position.png",4,220,900)</f>
        <v/>
      </c>
      <c r="T2788">
        <f>IMAGE("https://mitra.stanford.edu/kundaje/oak/projects/neuro-variants/variant_position/credible/roussos_2024/variant_figures/roussos_2024.infant.GLU/rs35418151_profile_position.png",4,220,900)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0.0691919474</v>
      </c>
      <c r="G2789" t="n">
        <v>0.097389716634372</v>
      </c>
      <c r="H2789" t="n">
        <v>0.0116710440796395</v>
      </c>
      <c r="I2789" t="n">
        <v>0.5789677309842195</v>
      </c>
      <c r="J2789" t="n">
        <v>0.0473456204942789</v>
      </c>
      <c r="K2789" t="n">
        <v>0.3533395770004716</v>
      </c>
      <c r="L2789" t="b">
        <v>0</v>
      </c>
      <c r="M2789" t="b">
        <v>0</v>
      </c>
      <c r="N2789" t="inlineStr">
        <is>
          <t>alt</t>
        </is>
      </c>
      <c r="O2789" t="n">
        <v>-90</v>
      </c>
      <c r="P2789" t="n">
        <v>0.002121</v>
      </c>
      <c r="Q2789" t="n">
        <v>-55</v>
      </c>
      <c r="R2789" t="n">
        <v>0.0892</v>
      </c>
      <c r="S2789">
        <f>IMAGE("https://mitra.stanford.edu/kundaje/oak/projects/neuro-variants/variant_position/credible/roussos_2024/variant_figures/roussos_2024.infant.GLU/rs10804640_count_position.png",4,220,900)</f>
        <v/>
      </c>
      <c r="T2789">
        <f>IMAGE("https://mitra.stanford.edu/kundaje/oak/projects/neuro-variants/variant_position/credible/roussos_2024/variant_figures/roussos_2024.infant.GLU/rs10804640_profile_position.png",4,220,900)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0.0201521289999999</v>
      </c>
      <c r="G2790" t="n">
        <v>0.4357028835020182</v>
      </c>
      <c r="H2790" t="n">
        <v>0.0392979571174083</v>
      </c>
      <c r="I2790" t="n">
        <v>0.0226651144999998</v>
      </c>
      <c r="J2790" t="n">
        <v>0.0476939526885513</v>
      </c>
      <c r="K2790" t="n">
        <v>0.354381488247089</v>
      </c>
      <c r="L2790" t="b">
        <v>0</v>
      </c>
      <c r="M2790" t="b">
        <v>0</v>
      </c>
      <c r="N2790" t="inlineStr">
        <is>
          <t>alt</t>
        </is>
      </c>
      <c r="O2790" t="n">
        <v>35</v>
      </c>
      <c r="P2790" t="n">
        <v>0.003418</v>
      </c>
      <c r="Q2790" t="n">
        <v>-40</v>
      </c>
      <c r="R2790" t="n">
        <v>0.0774</v>
      </c>
      <c r="S2790">
        <f>IMAGE("https://mitra.stanford.edu/kundaje/oak/projects/neuro-variants/variant_position/credible/roussos_2024/variant_figures/roussos_2024.infant.GLU/rs1394094_count_position.png",4,220,900)</f>
        <v/>
      </c>
      <c r="T2790">
        <f>IMAGE("https://mitra.stanford.edu/kundaje/oak/projects/neuro-variants/variant_position/credible/roussos_2024/variant_figures/roussos_2024.infant.GLU/rs1394094_profile_position.png",4,220,900)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0.0590371693999999</v>
      </c>
      <c r="G2791" t="n">
        <v>0.1283118248298996</v>
      </c>
      <c r="H2791" t="n">
        <v>0.008137274880157501</v>
      </c>
      <c r="I2791" t="n">
        <v>0.8986131160621029</v>
      </c>
      <c r="J2791" t="n">
        <v>0.0071639586410634</v>
      </c>
      <c r="K2791" t="n">
        <v>0.7029920637663198</v>
      </c>
      <c r="L2791" t="b">
        <v>0</v>
      </c>
      <c r="M2791" t="b">
        <v>0</v>
      </c>
      <c r="N2791" t="inlineStr">
        <is>
          <t>alt</t>
        </is>
      </c>
      <c r="O2791" t="n">
        <v>-70</v>
      </c>
      <c r="P2791" t="n">
        <v>0.1974</v>
      </c>
      <c r="Q2791" t="n">
        <v>10</v>
      </c>
      <c r="R2791" t="n">
        <v>0.02563</v>
      </c>
      <c r="S2791">
        <f>IMAGE("https://mitra.stanford.edu/kundaje/oak/projects/neuro-variants/variant_position/credible/roussos_2024/variant_figures/roussos_2024.infant.GLU/rs73226190_count_position.png",4,220,900)</f>
        <v/>
      </c>
      <c r="T2791">
        <f>IMAGE("https://mitra.stanford.edu/kundaje/oak/projects/neuro-variants/variant_position/credible/roussos_2024/variant_figures/roussos_2024.infant.GLU/rs73226190_profile_position.png",4,220,900)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-0.0236411659999999</v>
      </c>
      <c r="G2792" t="n">
        <v>0.4088082683867902</v>
      </c>
      <c r="H2792" t="n">
        <v>0.0115681155475521</v>
      </c>
      <c r="I2792" t="n">
        <v>0.5938284115429702</v>
      </c>
      <c r="J2792" t="n">
        <v>0.0769020481051169</v>
      </c>
      <c r="K2792" t="n">
        <v>0.2720787260916392</v>
      </c>
      <c r="L2792" t="b">
        <v>0</v>
      </c>
      <c r="M2792" t="b">
        <v>0</v>
      </c>
      <c r="N2792" t="inlineStr">
        <is>
          <t>ref</t>
        </is>
      </c>
      <c r="O2792" t="n">
        <v>-85</v>
      </c>
      <c r="P2792" t="n">
        <v>0.02353</v>
      </c>
      <c r="Q2792" t="n">
        <v>-100</v>
      </c>
      <c r="R2792" t="n">
        <v>0.1542</v>
      </c>
      <c r="S2792">
        <f>IMAGE("https://mitra.stanford.edu/kundaje/oak/projects/neuro-variants/variant_position/credible/roussos_2024/variant_figures/roussos_2024.infant.GLU/rs1070228_count_position.png",4,220,900)</f>
        <v/>
      </c>
      <c r="T2792">
        <f>IMAGE("https://mitra.stanford.edu/kundaje/oak/projects/neuro-variants/variant_position/credible/roussos_2024/variant_figures/roussos_2024.infant.GLU/rs1070228_profile_position.png",4,220,900)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-0.0312653048</v>
      </c>
      <c r="G2793" t="n">
        <v>0.3088793719253168</v>
      </c>
      <c r="H2793" t="n">
        <v>0.0092581434782192</v>
      </c>
      <c r="I2793" t="n">
        <v>0.8025722355612089</v>
      </c>
      <c r="J2793" t="n">
        <v>0.0022079410921757</v>
      </c>
      <c r="K2793" t="n">
        <v>0.84125078730028</v>
      </c>
      <c r="L2793" t="b">
        <v>0</v>
      </c>
      <c r="M2793" t="b">
        <v>0</v>
      </c>
      <c r="N2793" t="inlineStr">
        <is>
          <t>ref</t>
        </is>
      </c>
      <c r="O2793" t="n">
        <v>-85</v>
      </c>
      <c r="P2793" t="n">
        <v>0.02159</v>
      </c>
      <c r="Q2793" t="n">
        <v>-5</v>
      </c>
      <c r="R2793" t="n">
        <v>0.01233</v>
      </c>
      <c r="S2793">
        <f>IMAGE("https://mitra.stanford.edu/kundaje/oak/projects/neuro-variants/variant_position/credible/roussos_2024/variant_figures/roussos_2024.infant.GLU/rs1280622_count_position.png",4,220,900)</f>
        <v/>
      </c>
      <c r="T2793">
        <f>IMAGE("https://mitra.stanford.edu/kundaje/oak/projects/neuro-variants/variant_position/credible/roussos_2024/variant_figures/roussos_2024.infant.GLU/rs1280622_profile_position.png",4,220,900)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-0.0867918205999999</v>
      </c>
      <c r="G2794" t="n">
        <v>0.06927928061022159</v>
      </c>
      <c r="H2794" t="n">
        <v>0.0219466566107516</v>
      </c>
      <c r="I2794" t="n">
        <v>0.1468864548447062</v>
      </c>
      <c r="J2794" t="n">
        <v>0.0443892061112458</v>
      </c>
      <c r="K2794" t="n">
        <v>0.3742701640158464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0.0655</v>
      </c>
      <c r="Q2794" t="n">
        <v>-100</v>
      </c>
      <c r="R2794" t="n">
        <v>0.1377</v>
      </c>
      <c r="S2794">
        <f>IMAGE("https://mitra.stanford.edu/kundaje/oak/projects/neuro-variants/variant_position/credible/roussos_2024/variant_figures/roussos_2024.infant.GLU/rs56695781_count_position.png",4,220,900)</f>
        <v/>
      </c>
      <c r="T2794">
        <f>IMAGE("https://mitra.stanford.edu/kundaje/oak/projects/neuro-variants/variant_position/credible/roussos_2024/variant_figures/roussos_2024.infant.GLU/rs56695781_profile_position.png",4,220,900)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0.0116809711</v>
      </c>
      <c r="G2795" t="n">
        <v>0.6087042800629986</v>
      </c>
      <c r="H2795" t="n">
        <v>0.0159889668325165</v>
      </c>
      <c r="I2795" t="n">
        <v>0.3201994845132466</v>
      </c>
      <c r="J2795" t="n">
        <v>0.1564948521792808</v>
      </c>
      <c r="K2795" t="n">
        <v>0.1452109928616093</v>
      </c>
      <c r="L2795" t="b">
        <v>0</v>
      </c>
      <c r="M2795" t="b">
        <v>0</v>
      </c>
      <c r="N2795" t="inlineStr">
        <is>
          <t>alt</t>
        </is>
      </c>
      <c r="O2795" t="n">
        <v>35</v>
      </c>
      <c r="P2795" t="n">
        <v>0.003906</v>
      </c>
      <c r="Q2795" t="n">
        <v>-15</v>
      </c>
      <c r="R2795" t="n">
        <v>0.0249</v>
      </c>
      <c r="S2795">
        <f>IMAGE("https://mitra.stanford.edu/kundaje/oak/projects/neuro-variants/variant_position/credible/roussos_2024/variant_figures/roussos_2024.infant.GLU/rs4420814_count_position.png",4,220,900)</f>
        <v/>
      </c>
      <c r="T2795">
        <f>IMAGE("https://mitra.stanford.edu/kundaje/oak/projects/neuro-variants/variant_position/credible/roussos_2024/variant_figures/roussos_2024.infant.GLU/rs4420814_profile_position.png",4,220,900)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-0.0498642598</v>
      </c>
      <c r="G2796" t="n">
        <v>0.1684048810424659</v>
      </c>
      <c r="H2796" t="n">
        <v>0.0333068194324108</v>
      </c>
      <c r="I2796" t="n">
        <v>0.0406143750000555</v>
      </c>
      <c r="J2796" t="n">
        <v>0.8761491655459777</v>
      </c>
      <c r="K2796" t="n">
        <v>0.0044312546254166</v>
      </c>
      <c r="L2796" t="b">
        <v>0</v>
      </c>
      <c r="M2796" t="b">
        <v>0</v>
      </c>
      <c r="N2796" t="inlineStr">
        <is>
          <t>ref</t>
        </is>
      </c>
      <c r="O2796" t="n">
        <v>-100</v>
      </c>
      <c r="P2796" t="n">
        <v>0.008835000000000001</v>
      </c>
      <c r="Q2796" t="n">
        <v>-15</v>
      </c>
      <c r="R2796" t="n">
        <v>0.01428</v>
      </c>
      <c r="S2796">
        <f>IMAGE("https://mitra.stanford.edu/kundaje/oak/projects/neuro-variants/variant_position/credible/roussos_2024/variant_figures/roussos_2024.infant.GLU/rs149346914_count_position.png",4,220,900)</f>
        <v/>
      </c>
      <c r="T2796">
        <f>IMAGE("https://mitra.stanford.edu/kundaje/oak/projects/neuro-variants/variant_position/credible/roussos_2024/variant_figures/roussos_2024.infant.GLU/rs149346914_profile_position.png",4,220,900)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0.0754908396</v>
      </c>
      <c r="G2797" t="n">
        <v>0.0837398682710554</v>
      </c>
      <c r="H2797" t="n">
        <v>0.0546595092363233</v>
      </c>
      <c r="I2797" t="n">
        <v>0.0049041283787178</v>
      </c>
      <c r="J2797" t="n">
        <v>0.1457549769615732</v>
      </c>
      <c r="K2797" t="n">
        <v>0.1520536383080417</v>
      </c>
      <c r="L2797" t="b">
        <v>1</v>
      </c>
      <c r="M2797" t="b">
        <v>1</v>
      </c>
      <c r="N2797" t="inlineStr">
        <is>
          <t>alt</t>
        </is>
      </c>
      <c r="O2797" t="n">
        <v>45</v>
      </c>
      <c r="P2797" t="n">
        <v>0.002205</v>
      </c>
      <c r="Q2797" t="n">
        <v>-25</v>
      </c>
      <c r="R2797" t="n">
        <v>0.08057</v>
      </c>
      <c r="S2797">
        <f>IMAGE("https://mitra.stanford.edu/kundaje/oak/projects/neuro-variants/variant_position/credible/roussos_2024/variant_figures/roussos_2024.infant.GLU/rs4683442_count_position.png",4,220,900)</f>
        <v/>
      </c>
      <c r="T2797">
        <f>IMAGE("https://mitra.stanford.edu/kundaje/oak/projects/neuro-variants/variant_position/credible/roussos_2024/variant_figures/roussos_2024.infant.GLU/rs4683442_profile_position.png",4,220,900)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-0.006123645094</v>
      </c>
      <c r="G2798" t="n">
        <v>0.7685083232014643</v>
      </c>
      <c r="H2798" t="n">
        <v>0.0111314757779058</v>
      </c>
      <c r="I2798" t="n">
        <v>0.6364012069890413</v>
      </c>
      <c r="J2798" t="n">
        <v>0.0055578826693709</v>
      </c>
      <c r="K2798" t="n">
        <v>0.7470272621448549</v>
      </c>
      <c r="L2798" t="b">
        <v>0</v>
      </c>
      <c r="M2798" t="b">
        <v>0</v>
      </c>
      <c r="N2798" t="inlineStr">
        <is>
          <t>ref</t>
        </is>
      </c>
      <c r="O2798" t="n">
        <v>55</v>
      </c>
      <c r="P2798" t="n">
        <v>0.01752</v>
      </c>
      <c r="Q2798" t="n">
        <v>95</v>
      </c>
      <c r="R2798" t="n">
        <v>0.3074</v>
      </c>
      <c r="S2798">
        <f>IMAGE("https://mitra.stanford.edu/kundaje/oak/projects/neuro-variants/variant_position/credible/roussos_2024/variant_figures/roussos_2024.infant.GLU/rs3886152_count_position.png",4,220,900)</f>
        <v/>
      </c>
      <c r="T2798">
        <f>IMAGE("https://mitra.stanford.edu/kundaje/oak/projects/neuro-variants/variant_position/credible/roussos_2024/variant_figures/roussos_2024.infant.GLU/rs3886152_profile_position.png",4,220,900)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0.14811923</v>
      </c>
      <c r="G2799" t="n">
        <v>0.022934474467876</v>
      </c>
      <c r="H2799" t="n">
        <v>0.0237321338851398</v>
      </c>
      <c r="I2799" t="n">
        <v>0.1206794819600475</v>
      </c>
      <c r="J2799" t="n">
        <v>0.4213166075089838</v>
      </c>
      <c r="K2799" t="n">
        <v>0.0420284090041656</v>
      </c>
      <c r="L2799" t="b">
        <v>0</v>
      </c>
      <c r="M2799" t="b">
        <v>0</v>
      </c>
      <c r="N2799" t="inlineStr">
        <is>
          <t>alt</t>
        </is>
      </c>
      <c r="O2799" t="n">
        <v>-35</v>
      </c>
      <c r="P2799" t="n">
        <v>0.02039</v>
      </c>
      <c r="Q2799" t="n">
        <v>5</v>
      </c>
      <c r="R2799" t="n">
        <v>0.004883</v>
      </c>
      <c r="S2799">
        <f>IMAGE("https://mitra.stanford.edu/kundaje/oak/projects/neuro-variants/variant_position/credible/roussos_2024/variant_figures/roussos_2024.infant.GLU/rs4683725_count_position.png",4,220,900)</f>
        <v/>
      </c>
      <c r="T2799">
        <f>IMAGE("https://mitra.stanford.edu/kundaje/oak/projects/neuro-variants/variant_position/credible/roussos_2024/variant_figures/roussos_2024.infant.GLU/rs4683725_profile_position.png",4,220,900)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0.0293112315999999</v>
      </c>
      <c r="G2800" t="n">
        <v>0.3178894378981857</v>
      </c>
      <c r="H2800" t="n">
        <v>0.0136094175708728</v>
      </c>
      <c r="I2800" t="n">
        <v>0.439882911903926</v>
      </c>
      <c r="J2800" t="n">
        <v>0.2804096210233912</v>
      </c>
      <c r="K2800" t="n">
        <v>0.07471150751731639</v>
      </c>
      <c r="L2800" t="b">
        <v>0</v>
      </c>
      <c r="M2800" t="b">
        <v>0</v>
      </c>
      <c r="N2800" t="inlineStr">
        <is>
          <t>alt</t>
        </is>
      </c>
      <c r="O2800" t="n">
        <v>-100</v>
      </c>
      <c r="P2800" t="n">
        <v>0.01524</v>
      </c>
      <c r="Q2800" t="n">
        <v>-100</v>
      </c>
      <c r="R2800" t="n">
        <v>0.03308</v>
      </c>
      <c r="S2800">
        <f>IMAGE("https://mitra.stanford.edu/kundaje/oak/projects/neuro-variants/variant_position/credible/roussos_2024/variant_figures/roussos_2024.infant.GLU/rs9289654_count_position.png",4,220,900)</f>
        <v/>
      </c>
      <c r="T2800">
        <f>IMAGE("https://mitra.stanford.edu/kundaje/oak/projects/neuro-variants/variant_position/credible/roussos_2024/variant_figures/roussos_2024.infant.GLU/rs9289654_profile_position.png",4,220,900)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-0.095174806</v>
      </c>
      <c r="G2801" t="n">
        <v>0.0620128602331739</v>
      </c>
      <c r="H2801" t="n">
        <v>0.0165965781000949</v>
      </c>
      <c r="I2801" t="n">
        <v>0.2969412866736106</v>
      </c>
      <c r="J2801" t="n">
        <v>0.175567142132763</v>
      </c>
      <c r="K2801" t="n">
        <v>0.1345007483793351</v>
      </c>
      <c r="L2801" t="b">
        <v>0</v>
      </c>
      <c r="M2801" t="b">
        <v>0</v>
      </c>
      <c r="N2801" t="inlineStr">
        <is>
          <t>ref</t>
        </is>
      </c>
      <c r="O2801" t="n">
        <v>50</v>
      </c>
      <c r="P2801" t="n">
        <v>0.01819</v>
      </c>
      <c r="Q2801" t="n">
        <v>50</v>
      </c>
      <c r="R2801" t="n">
        <v>0.2051</v>
      </c>
      <c r="S2801">
        <f>IMAGE("https://mitra.stanford.edu/kundaje/oak/projects/neuro-variants/variant_position/credible/roussos_2024/variant_figures/roussos_2024.infant.GLU/rs750869_count_position.png",4,220,900)</f>
        <v/>
      </c>
      <c r="T2801">
        <f>IMAGE("https://mitra.stanford.edu/kundaje/oak/projects/neuro-variants/variant_position/credible/roussos_2024/variant_figures/roussos_2024.infant.GLU/rs750869_profile_position.png",4,220,900)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0.2302216272</v>
      </c>
      <c r="G2802" t="n">
        <v>0.007839543396501499</v>
      </c>
      <c r="H2802" t="n">
        <v>0.0251296669381119</v>
      </c>
      <c r="I2802" t="n">
        <v>0.1033583859942123</v>
      </c>
      <c r="J2802" t="n">
        <v>0.3695286492206618</v>
      </c>
      <c r="K2802" t="n">
        <v>0.052966225151478</v>
      </c>
      <c r="L2802" t="b">
        <v>1</v>
      </c>
      <c r="M2802" t="b">
        <v>1</v>
      </c>
      <c r="N2802" t="inlineStr">
        <is>
          <t>alt</t>
        </is>
      </c>
      <c r="O2802" t="n">
        <v>-95</v>
      </c>
      <c r="P2802" t="n">
        <v>0.04047</v>
      </c>
      <c r="Q2802" t="n">
        <v>-95</v>
      </c>
      <c r="R2802" t="n">
        <v>0.2207</v>
      </c>
      <c r="S2802">
        <f>IMAGE("https://mitra.stanford.edu/kundaje/oak/projects/neuro-variants/variant_position/credible/roussos_2024/variant_figures/roussos_2024.infant.GLU/rs10804685_count_position.png",4,220,900)</f>
        <v/>
      </c>
      <c r="T2802">
        <f>IMAGE("https://mitra.stanford.edu/kundaje/oak/projects/neuro-variants/variant_position/credible/roussos_2024/variant_figures/roussos_2024.infant.GLU/rs10804685_profile_position.png",4,220,900)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0.0736715138</v>
      </c>
      <c r="G2803" t="n">
        <v>0.1003373089806272</v>
      </c>
      <c r="H2803" t="n">
        <v>0.0136946740268501</v>
      </c>
      <c r="I2803" t="n">
        <v>0.4401877061468983</v>
      </c>
      <c r="J2803" t="n">
        <v>0.03470535064706</v>
      </c>
      <c r="K2803" t="n">
        <v>0.422247845026683</v>
      </c>
      <c r="L2803" t="b">
        <v>0</v>
      </c>
      <c r="M2803" t="b">
        <v>0</v>
      </c>
      <c r="N2803" t="inlineStr">
        <is>
          <t>alt</t>
        </is>
      </c>
      <c r="O2803" t="n">
        <v>75</v>
      </c>
      <c r="P2803" t="n">
        <v>0.03918</v>
      </c>
      <c r="Q2803" t="n">
        <v>85</v>
      </c>
      <c r="R2803" t="n">
        <v>0.2399</v>
      </c>
      <c r="S2803">
        <f>IMAGE("https://mitra.stanford.edu/kundaje/oak/projects/neuro-variants/variant_position/credible/roussos_2024/variant_figures/roussos_2024.infant.GLU/rs8179934_count_position.png",4,220,900)</f>
        <v/>
      </c>
      <c r="T2803">
        <f>IMAGE("https://mitra.stanford.edu/kundaje/oak/projects/neuro-variants/variant_position/credible/roussos_2024/variant_figures/roussos_2024.infant.GLU/rs8179934_profile_position.png",4,220,900)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-0.01356832932</v>
      </c>
      <c r="G2804" t="n">
        <v>0.5758305698999034</v>
      </c>
      <c r="H2804" t="n">
        <v>0.0290071454139793</v>
      </c>
      <c r="I2804" t="n">
        <v>0.0641016163182466</v>
      </c>
      <c r="J2804" t="n">
        <v>0.1164013756917039</v>
      </c>
      <c r="K2804" t="n">
        <v>0.1833054276878571</v>
      </c>
      <c r="L2804" t="b">
        <v>0</v>
      </c>
      <c r="M2804" t="b">
        <v>0</v>
      </c>
      <c r="N2804" t="inlineStr">
        <is>
          <t>ref</t>
        </is>
      </c>
      <c r="O2804" t="n">
        <v>100</v>
      </c>
      <c r="P2804" t="n">
        <v>0.07654</v>
      </c>
      <c r="Q2804" t="n">
        <v>-5</v>
      </c>
      <c r="R2804" t="n">
        <v>0.05786</v>
      </c>
      <c r="S2804">
        <f>IMAGE("https://mitra.stanford.edu/kundaje/oak/projects/neuro-variants/variant_position/credible/roussos_2024/variant_figures/roussos_2024.infant.GLU/rs9832859_count_position.png",4,220,900)</f>
        <v/>
      </c>
      <c r="T2804">
        <f>IMAGE("https://mitra.stanford.edu/kundaje/oak/projects/neuro-variants/variant_position/credible/roussos_2024/variant_figures/roussos_2024.infant.GLU/rs9832859_profile_position.png",4,220,900)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-0.008759955200000001</v>
      </c>
      <c r="G2805" t="n">
        <v>0.5095578161710304</v>
      </c>
      <c r="H2805" t="n">
        <v>0.0126811724100411</v>
      </c>
      <c r="I2805" t="n">
        <v>0.5060411567618286</v>
      </c>
      <c r="J2805" t="n">
        <v>0.0165931788619678</v>
      </c>
      <c r="K2805" t="n">
        <v>0.5957855505246848</v>
      </c>
      <c r="L2805" t="b">
        <v>0</v>
      </c>
      <c r="M2805" t="b">
        <v>0</v>
      </c>
      <c r="N2805" t="inlineStr">
        <is>
          <t>ref</t>
        </is>
      </c>
      <c r="O2805" t="n">
        <v>-55</v>
      </c>
      <c r="P2805" t="n">
        <v>0.00525</v>
      </c>
      <c r="Q2805" t="n">
        <v>-25</v>
      </c>
      <c r="R2805" t="n">
        <v>0.02039</v>
      </c>
      <c r="S2805">
        <f>IMAGE("https://mitra.stanford.edu/kundaje/oak/projects/neuro-variants/variant_position/credible/roussos_2024/variant_figures/roussos_2024.infant.GLU/rs514816_count_position.png",4,220,900)</f>
        <v/>
      </c>
      <c r="T2805">
        <f>IMAGE("https://mitra.stanford.edu/kundaje/oak/projects/neuro-variants/variant_position/credible/roussos_2024/variant_figures/roussos_2024.infant.GLU/rs514816_profile_position.png",4,220,900)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-0.085140536</v>
      </c>
      <c r="G2806" t="n">
        <v>0.07497471578067449</v>
      </c>
      <c r="H2806" t="n">
        <v>0.0109959241468129</v>
      </c>
      <c r="I2806" t="n">
        <v>0.6481330568717202</v>
      </c>
      <c r="J2806" t="n">
        <v>0.0149573403293723</v>
      </c>
      <c r="K2806" t="n">
        <v>0.5884648249680828</v>
      </c>
      <c r="L2806" t="b">
        <v>0</v>
      </c>
      <c r="M2806" t="b">
        <v>0</v>
      </c>
      <c r="N2806" t="inlineStr">
        <is>
          <t>ref</t>
        </is>
      </c>
      <c r="O2806" t="n">
        <v>-55</v>
      </c>
      <c r="P2806" t="n">
        <v>0.1815</v>
      </c>
      <c r="Q2806" t="n">
        <v>-70</v>
      </c>
      <c r="R2806" t="n">
        <v>0.1798</v>
      </c>
      <c r="S2806">
        <f>IMAGE("https://mitra.stanford.edu/kundaje/oak/projects/neuro-variants/variant_position/credible/roussos_2024/variant_figures/roussos_2024.infant.GLU/rs308693_count_position.png",4,220,900)</f>
        <v/>
      </c>
      <c r="T2806">
        <f>IMAGE("https://mitra.stanford.edu/kundaje/oak/projects/neuro-variants/variant_position/credible/roussos_2024/variant_figures/roussos_2024.infant.GLU/rs308693_profile_position.png",4,220,900)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0.290798562</v>
      </c>
      <c r="G2807" t="n">
        <v>0.00342654798758</v>
      </c>
      <c r="H2807" t="n">
        <v>0.0441291897093053</v>
      </c>
      <c r="I2807" t="n">
        <v>0.0138979439155273</v>
      </c>
      <c r="J2807" t="n">
        <v>0.4594997685134152</v>
      </c>
      <c r="K2807" t="n">
        <v>0.0358450059251503</v>
      </c>
      <c r="L2807" t="b">
        <v>1</v>
      </c>
      <c r="M2807" t="b">
        <v>1</v>
      </c>
      <c r="N2807" t="inlineStr">
        <is>
          <t>alt</t>
        </is>
      </c>
      <c r="O2807" t="n">
        <v>-10</v>
      </c>
      <c r="P2807" t="n">
        <v>0.0003662</v>
      </c>
      <c r="Q2807" t="n">
        <v>-25</v>
      </c>
      <c r="R2807" t="n">
        <v>0.03174</v>
      </c>
      <c r="S2807">
        <f>IMAGE("https://mitra.stanford.edu/kundaje/oak/projects/neuro-variants/variant_position/credible/roussos_2024/variant_figures/roussos_2024.infant.GLU/rs308698_count_position.png",4,220,900)</f>
        <v/>
      </c>
      <c r="T2807">
        <f>IMAGE("https://mitra.stanford.edu/kundaje/oak/projects/neuro-variants/variant_position/credible/roussos_2024/variant_figures/roussos_2024.infant.GLU/rs308698_profile_position.png",4,220,900)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-0.0259829508</v>
      </c>
      <c r="G2808" t="n">
        <v>0.3585673726498695</v>
      </c>
      <c r="H2808" t="n">
        <v>0.008160834558096601</v>
      </c>
      <c r="I2808" t="n">
        <v>0.8941519081569832</v>
      </c>
      <c r="J2808" t="n">
        <v>0.2893031151480412</v>
      </c>
      <c r="K2808" t="n">
        <v>0.07082024543348529</v>
      </c>
      <c r="L2808" t="b">
        <v>0</v>
      </c>
      <c r="M2808" t="b">
        <v>0</v>
      </c>
      <c r="N2808" t="inlineStr">
        <is>
          <t>ref</t>
        </is>
      </c>
      <c r="O2808" t="n">
        <v>-35</v>
      </c>
      <c r="P2808" t="n">
        <v>0.03342</v>
      </c>
      <c r="Q2808" t="n">
        <v>-35</v>
      </c>
      <c r="R2808" t="n">
        <v>0.1414</v>
      </c>
      <c r="S2808">
        <f>IMAGE("https://mitra.stanford.edu/kundaje/oak/projects/neuro-variants/variant_position/credible/roussos_2024/variant_figures/roussos_2024.infant.GLU/rs308699_count_position.png",4,220,900)</f>
        <v/>
      </c>
      <c r="T2808">
        <f>IMAGE("https://mitra.stanford.edu/kundaje/oak/projects/neuro-variants/variant_position/credible/roussos_2024/variant_figures/roussos_2024.infant.GLU/rs308699_profile_position.png",4,220,900)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-0.1906634039999999</v>
      </c>
      <c r="G2809" t="n">
        <v>0.0120010422996278</v>
      </c>
      <c r="H2809" t="n">
        <v>0.0446936649619483</v>
      </c>
      <c r="I2809" t="n">
        <v>0.0126829196807798</v>
      </c>
      <c r="J2809" t="n">
        <v>0.07017240238982329</v>
      </c>
      <c r="K2809" t="n">
        <v>0.2993151557953663</v>
      </c>
      <c r="L2809" t="b">
        <v>1</v>
      </c>
      <c r="M2809" t="b">
        <v>0</v>
      </c>
      <c r="N2809" t="inlineStr">
        <is>
          <t>ref</t>
        </is>
      </c>
      <c r="O2809" t="n">
        <v>10</v>
      </c>
      <c r="P2809" t="n">
        <v>0.002075</v>
      </c>
      <c r="Q2809" t="n">
        <v>15</v>
      </c>
      <c r="R2809" t="n">
        <v>0.03857</v>
      </c>
      <c r="S2809">
        <f>IMAGE("https://mitra.stanford.edu/kundaje/oak/projects/neuro-variants/variant_position/credible/roussos_2024/variant_figures/roussos_2024.infant.GLU/rs9865618_count_position.png",4,220,900)</f>
        <v/>
      </c>
      <c r="T2809">
        <f>IMAGE("https://mitra.stanford.edu/kundaje/oak/projects/neuro-variants/variant_position/credible/roussos_2024/variant_figures/roussos_2024.infant.GLU/rs9865618_profile_position.png",4,220,900)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0.0187656568</v>
      </c>
      <c r="G2810" t="n">
        <v>0.4481677044923239</v>
      </c>
      <c r="H2810" t="n">
        <v>0.0152517149846241</v>
      </c>
      <c r="I2810" t="n">
        <v>0.3476195395396807</v>
      </c>
      <c r="J2810" t="n">
        <v>0.0286293789545624</v>
      </c>
      <c r="K2810" t="n">
        <v>0.4723881502348797</v>
      </c>
      <c r="L2810" t="b">
        <v>0</v>
      </c>
      <c r="M2810" t="b">
        <v>0</v>
      </c>
      <c r="N2810" t="inlineStr">
        <is>
          <t>alt</t>
        </is>
      </c>
      <c r="O2810" t="n">
        <v>-95</v>
      </c>
      <c r="P2810" t="n">
        <v>0.0709</v>
      </c>
      <c r="Q2810" t="n">
        <v>-55</v>
      </c>
      <c r="R2810" t="n">
        <v>0.06510000000000001</v>
      </c>
      <c r="S2810">
        <f>IMAGE("https://mitra.stanford.edu/kundaje/oak/projects/neuro-variants/variant_position/credible/roussos_2024/variant_figures/roussos_2024.infant.GLU/rs4586823_count_position.png",4,220,900)</f>
        <v/>
      </c>
      <c r="T2810">
        <f>IMAGE("https://mitra.stanford.edu/kundaje/oak/projects/neuro-variants/variant_position/credible/roussos_2024/variant_figures/roussos_2024.infant.GLU/rs4586823_profile_position.png",4,220,900)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-0.0226694</v>
      </c>
      <c r="G2811" t="n">
        <v>0.4029357871650849</v>
      </c>
      <c r="H2811" t="n">
        <v>0.0115867216419314</v>
      </c>
      <c r="I2811" t="n">
        <v>0.5922962370995443</v>
      </c>
      <c r="J2811" t="n">
        <v>0.0476873387861284</v>
      </c>
      <c r="K2811" t="n">
        <v>0.3486163433509043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0.0536</v>
      </c>
      <c r="Q2811" t="n">
        <v>-10</v>
      </c>
      <c r="R2811" t="n">
        <v>0.015564</v>
      </c>
      <c r="S2811">
        <f>IMAGE("https://mitra.stanford.edu/kundaje/oak/projects/neuro-variants/variant_position/credible/roussos_2024/variant_figures/roussos_2024.infant.GLU/rs7615033_count_position.png",4,220,900)</f>
        <v/>
      </c>
      <c r="T2811">
        <f>IMAGE("https://mitra.stanford.edu/kundaje/oak/projects/neuro-variants/variant_position/credible/roussos_2024/variant_figures/roussos_2024.infant.GLU/rs7615033_profile_position.png",4,220,900)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0.00591704442</v>
      </c>
      <c r="G2812" t="n">
        <v>0.6683342321767606</v>
      </c>
      <c r="H2812" t="n">
        <v>0.0097819763152781</v>
      </c>
      <c r="I2812" t="n">
        <v>0.751445221514164</v>
      </c>
      <c r="J2812" t="n">
        <v>0.0488767389051786</v>
      </c>
      <c r="K2812" t="n">
        <v>0.3432514300073967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0.0413</v>
      </c>
      <c r="Q2812" t="n">
        <v>-100</v>
      </c>
      <c r="R2812" t="n">
        <v>0.02278</v>
      </c>
      <c r="S2812">
        <f>IMAGE("https://mitra.stanford.edu/kundaje/oak/projects/neuro-variants/variant_position/credible/roussos_2024/variant_figures/roussos_2024.infant.GLU/rs7626556_count_position.png",4,220,900)</f>
        <v/>
      </c>
      <c r="T2812">
        <f>IMAGE("https://mitra.stanford.edu/kundaje/oak/projects/neuro-variants/variant_position/credible/roussos_2024/variant_figures/roussos_2024.infant.GLU/rs7626556_profile_position.png",4,220,900)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-0.008749095599999999</v>
      </c>
      <c r="G2813" t="n">
        <v>0.6122468463335762</v>
      </c>
      <c r="H2813" t="n">
        <v>0.0315105587544472</v>
      </c>
      <c r="I2813" t="n">
        <v>0.049406245964667</v>
      </c>
      <c r="J2813" t="n">
        <v>0.0045724112083599</v>
      </c>
      <c r="K2813" t="n">
        <v>0.7709147370898918</v>
      </c>
      <c r="L2813" t="b">
        <v>0</v>
      </c>
      <c r="M2813" t="b">
        <v>0</v>
      </c>
      <c r="N2813" t="inlineStr">
        <is>
          <t>ref</t>
        </is>
      </c>
      <c r="O2813" t="n">
        <v>50</v>
      </c>
      <c r="P2813" t="n">
        <v>0.02557</v>
      </c>
      <c r="Q2813" t="n">
        <v>-80</v>
      </c>
      <c r="R2813" t="n">
        <v>0.07190000000000001</v>
      </c>
      <c r="S2813">
        <f>IMAGE("https://mitra.stanford.edu/kundaje/oak/projects/neuro-variants/variant_position/credible/roussos_2024/variant_figures/roussos_2024.infant.GLU/rs1912454_count_position.png",4,220,900)</f>
        <v/>
      </c>
      <c r="T2813">
        <f>IMAGE("https://mitra.stanford.edu/kundaje/oak/projects/neuro-variants/variant_position/credible/roussos_2024/variant_figures/roussos_2024.infant.GLU/rs1912454_profile_position.png",4,220,900)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-0.0382688712</v>
      </c>
      <c r="G2814" t="n">
        <v>0.2790425170255796</v>
      </c>
      <c r="H2814" t="n">
        <v>0.0273045546106722</v>
      </c>
      <c r="I2814" t="n">
        <v>0.07898570645334881</v>
      </c>
      <c r="J2814" t="n">
        <v>0.102558477920589</v>
      </c>
      <c r="K2814" t="n">
        <v>0.2100851114722157</v>
      </c>
      <c r="L2814" t="b">
        <v>0</v>
      </c>
      <c r="M2814" t="b">
        <v>0</v>
      </c>
      <c r="N2814" t="inlineStr">
        <is>
          <t>ref</t>
        </is>
      </c>
      <c r="O2814" t="n">
        <v>-80</v>
      </c>
      <c r="P2814" t="n">
        <v>0.02982</v>
      </c>
      <c r="Q2814" t="n">
        <v>-90</v>
      </c>
      <c r="R2814" t="n">
        <v>0.1681</v>
      </c>
      <c r="S2814">
        <f>IMAGE("https://mitra.stanford.edu/kundaje/oak/projects/neuro-variants/variant_position/credible/roussos_2024/variant_figures/roussos_2024.infant.GLU/rs28532919_count_position.png",4,220,900)</f>
        <v/>
      </c>
      <c r="T2814">
        <f>IMAGE("https://mitra.stanford.edu/kundaje/oak/projects/neuro-variants/variant_position/credible/roussos_2024/variant_figures/roussos_2024.infant.GLU/rs28532919_profile_position.png",4,220,900)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0.016186929</v>
      </c>
      <c r="G2815" t="n">
        <v>0.4968521147839122</v>
      </c>
      <c r="H2815" t="n">
        <v>0.007865781295270401</v>
      </c>
      <c r="I2815" t="n">
        <v>0.9042020478887002</v>
      </c>
      <c r="J2815" t="n">
        <v>0.0690182764170285</v>
      </c>
      <c r="K2815" t="n">
        <v>0.2804189040194647</v>
      </c>
      <c r="L2815" t="b">
        <v>0</v>
      </c>
      <c r="M2815" t="b">
        <v>0</v>
      </c>
      <c r="N2815" t="inlineStr">
        <is>
          <t>alt</t>
        </is>
      </c>
      <c r="O2815" t="n">
        <v>-95</v>
      </c>
      <c r="P2815" t="n">
        <v>0.02473</v>
      </c>
      <c r="Q2815" t="n">
        <v>20</v>
      </c>
      <c r="R2815" t="n">
        <v>0.02234</v>
      </c>
      <c r="S2815">
        <f>IMAGE("https://mitra.stanford.edu/kundaje/oak/projects/neuro-variants/variant_position/credible/roussos_2024/variant_figures/roussos_2024.infant.GLU/rs62280491_count_position.png",4,220,900)</f>
        <v/>
      </c>
      <c r="T2815">
        <f>IMAGE("https://mitra.stanford.edu/kundaje/oak/projects/neuro-variants/variant_position/credible/roussos_2024/variant_figures/roussos_2024.infant.GLU/rs62280491_profile_position.png",4,220,900)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0.0437445566</v>
      </c>
      <c r="G2816" t="n">
        <v>0.2017012960548229</v>
      </c>
      <c r="H2816" t="n">
        <v>0.0102714368731194</v>
      </c>
      <c r="I2816" t="n">
        <v>0.7133526120717095</v>
      </c>
      <c r="J2816" t="n">
        <v>0.0055986684009788</v>
      </c>
      <c r="K2816" t="n">
        <v>0.7369575938306061</v>
      </c>
      <c r="L2816" t="b">
        <v>0</v>
      </c>
      <c r="M2816" t="b">
        <v>0</v>
      </c>
      <c r="N2816" t="inlineStr">
        <is>
          <t>alt</t>
        </is>
      </c>
      <c r="O2816" t="n">
        <v>95</v>
      </c>
      <c r="P2816" t="n">
        <v>0.0398</v>
      </c>
      <c r="Q2816" t="n">
        <v>-95</v>
      </c>
      <c r="R2816" t="n">
        <v>0.09089999999999999</v>
      </c>
      <c r="S2816">
        <f>IMAGE("https://mitra.stanford.edu/kundaje/oak/projects/neuro-variants/variant_position/credible/roussos_2024/variant_figures/roussos_2024.infant.GLU/rs56315604_count_position.png",4,220,900)</f>
        <v/>
      </c>
      <c r="T2816">
        <f>IMAGE("https://mitra.stanford.edu/kundaje/oak/projects/neuro-variants/variant_position/credible/roussos_2024/variant_figures/roussos_2024.infant.GLU/rs56315604_profile_position.png",4,220,900)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-0.070022458</v>
      </c>
      <c r="G2817" t="n">
        <v>0.0978441795777559</v>
      </c>
      <c r="H2817" t="n">
        <v>0.0144416874532393</v>
      </c>
      <c r="I2817" t="n">
        <v>0.3895412917267396</v>
      </c>
      <c r="J2817" t="n">
        <v>0.0067682268127603</v>
      </c>
      <c r="K2817" t="n">
        <v>0.7265137116654711</v>
      </c>
      <c r="L2817" t="b">
        <v>0</v>
      </c>
      <c r="M2817" t="b">
        <v>0</v>
      </c>
      <c r="N2817" t="inlineStr">
        <is>
          <t>ref</t>
        </is>
      </c>
      <c r="O2817" t="n">
        <v>15</v>
      </c>
      <c r="P2817" t="n">
        <v>0.001404</v>
      </c>
      <c r="Q2817" t="n">
        <v>-30</v>
      </c>
      <c r="R2817" t="n">
        <v>0.03668</v>
      </c>
      <c r="S2817">
        <f>IMAGE("https://mitra.stanford.edu/kundaje/oak/projects/neuro-variants/variant_position/credible/roussos_2024/variant_figures/roussos_2024.infant.GLU/rs1397242_count_position.png",4,220,900)</f>
        <v/>
      </c>
      <c r="T2817">
        <f>IMAGE("https://mitra.stanford.edu/kundaje/oak/projects/neuro-variants/variant_position/credible/roussos_2024/variant_figures/roussos_2024.infant.GLU/rs1397242_profile_position.png",4,220,900)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-0.07279798899999999</v>
      </c>
      <c r="G2818" t="n">
        <v>0.096952098634551</v>
      </c>
      <c r="H2818" t="n">
        <v>0.0560660391176925</v>
      </c>
      <c r="I2818" t="n">
        <v>0.0043289401346831</v>
      </c>
      <c r="J2818" t="n">
        <v>0.0131374148460062</v>
      </c>
      <c r="K2818" t="n">
        <v>0.6139685174806743</v>
      </c>
      <c r="L2818" t="b">
        <v>1</v>
      </c>
      <c r="M2818" t="b">
        <v>0</v>
      </c>
      <c r="N2818" t="inlineStr">
        <is>
          <t>ref</t>
        </is>
      </c>
      <c r="O2818" t="n">
        <v>65</v>
      </c>
      <c r="P2818" t="n">
        <v>0.05246</v>
      </c>
      <c r="Q2818" t="n">
        <v>70</v>
      </c>
      <c r="R2818" t="n">
        <v>0.0828</v>
      </c>
      <c r="S2818">
        <f>IMAGE("https://mitra.stanford.edu/kundaje/oak/projects/neuro-variants/variant_position/credible/roussos_2024/variant_figures/roussos_2024.infant.GLU/rs13100661_count_position.png",4,220,900)</f>
        <v/>
      </c>
      <c r="T2818">
        <f>IMAGE("https://mitra.stanford.edu/kundaje/oak/projects/neuro-variants/variant_position/credible/roussos_2024/variant_figures/roussos_2024.infant.GLU/rs13100661_profile_position.png",4,220,900)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0.0505004577999999</v>
      </c>
      <c r="G2819" t="n">
        <v>0.1347754651035303</v>
      </c>
      <c r="H2819" t="n">
        <v>0.0110735335154152</v>
      </c>
      <c r="I2819" t="n">
        <v>0.6346791790896296</v>
      </c>
      <c r="J2819" t="n">
        <v>0.061792588020018</v>
      </c>
      <c r="K2819" t="n">
        <v>0.2973899274336895</v>
      </c>
      <c r="L2819" t="b">
        <v>0</v>
      </c>
      <c r="M2819" t="b">
        <v>0</v>
      </c>
      <c r="N2819" t="inlineStr">
        <is>
          <t>alt</t>
        </is>
      </c>
      <c r="O2819" t="n">
        <v>80</v>
      </c>
      <c r="P2819" t="n">
        <v>0.02266</v>
      </c>
      <c r="Q2819" t="n">
        <v>-5</v>
      </c>
      <c r="R2819" t="n">
        <v>0.00903</v>
      </c>
      <c r="S2819">
        <f>IMAGE("https://mitra.stanford.edu/kundaje/oak/projects/neuro-variants/variant_position/credible/roussos_2024/variant_figures/roussos_2024.infant.GLU/rs6791872_count_position.png",4,220,900)</f>
        <v/>
      </c>
      <c r="T2819">
        <f>IMAGE("https://mitra.stanford.edu/kundaje/oak/projects/neuro-variants/variant_position/credible/roussos_2024/variant_figures/roussos_2024.infant.GLU/rs6791872_profile_position.png",4,220,900)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0.06824382</v>
      </c>
      <c r="G2820" t="n">
        <v>0.1116232204772017</v>
      </c>
      <c r="H2820" t="n">
        <v>0.0166201743985762</v>
      </c>
      <c r="I2820" t="n">
        <v>0.2935450210337694</v>
      </c>
      <c r="J2820" t="n">
        <v>0.0509314579245573</v>
      </c>
      <c r="K2820" t="n">
        <v>0.3330968223171157</v>
      </c>
      <c r="L2820" t="b">
        <v>0</v>
      </c>
      <c r="M2820" t="b">
        <v>0</v>
      </c>
      <c r="N2820" t="inlineStr">
        <is>
          <t>alt</t>
        </is>
      </c>
      <c r="O2820" t="n">
        <v>55</v>
      </c>
      <c r="P2820" t="n">
        <v>0.00116</v>
      </c>
      <c r="Q2820" t="n">
        <v>-80</v>
      </c>
      <c r="R2820" t="n">
        <v>0.1257</v>
      </c>
      <c r="S2820">
        <f>IMAGE("https://mitra.stanford.edu/kundaje/oak/projects/neuro-variants/variant_position/credible/roussos_2024/variant_figures/roussos_2024.infant.GLU/rs6779000_count_position.png",4,220,900)</f>
        <v/>
      </c>
      <c r="T2820">
        <f>IMAGE("https://mitra.stanford.edu/kundaje/oak/projects/neuro-variants/variant_position/credible/roussos_2024/variant_figures/roussos_2024.infant.GLU/rs6779000_profile_position.png",4,220,900)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-0.0166103468</v>
      </c>
      <c r="G2821" t="n">
        <v>0.4258119387182024</v>
      </c>
      <c r="H2821" t="n">
        <v>0.0353282568325499</v>
      </c>
      <c r="I2821" t="n">
        <v>0.0328996526649914</v>
      </c>
      <c r="J2821" t="n">
        <v>0.026522851032871</v>
      </c>
      <c r="K2821" t="n">
        <v>0.4829703525767884</v>
      </c>
      <c r="L2821" t="b">
        <v>0</v>
      </c>
      <c r="M2821" t="b">
        <v>0</v>
      </c>
      <c r="N2821" t="inlineStr">
        <is>
          <t>ref</t>
        </is>
      </c>
      <c r="O2821" t="n">
        <v>-20</v>
      </c>
      <c r="P2821" t="n">
        <v>0.002441</v>
      </c>
      <c r="Q2821" t="n">
        <v>-100</v>
      </c>
      <c r="R2821" t="n">
        <v>0.1065</v>
      </c>
      <c r="S2821">
        <f>IMAGE("https://mitra.stanford.edu/kundaje/oak/projects/neuro-variants/variant_position/credible/roussos_2024/variant_figures/roussos_2024.infant.GLU/rs35298688_count_position.png",4,220,900)</f>
        <v/>
      </c>
      <c r="T2821">
        <f>IMAGE("https://mitra.stanford.edu/kundaje/oak/projects/neuro-variants/variant_position/credible/roussos_2024/variant_figures/roussos_2024.infant.GLU/rs35298688_profile_position.png",4,220,900)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0.127470412</v>
      </c>
      <c r="G2822" t="n">
        <v>0.0292753260496573</v>
      </c>
      <c r="H2822" t="n">
        <v>0.015900153378649</v>
      </c>
      <c r="I2822" t="n">
        <v>0.3224762413137268</v>
      </c>
      <c r="J2822" t="n">
        <v>0.0539562159659604</v>
      </c>
      <c r="K2822" t="n">
        <v>0.3269546938171172</v>
      </c>
      <c r="L2822" t="b">
        <v>0</v>
      </c>
      <c r="M2822" t="b">
        <v>0</v>
      </c>
      <c r="N2822" t="inlineStr">
        <is>
          <t>alt</t>
        </is>
      </c>
      <c r="O2822" t="n">
        <v>100</v>
      </c>
      <c r="P2822" t="n">
        <v>0.00583</v>
      </c>
      <c r="Q2822" t="n">
        <v>-100</v>
      </c>
      <c r="R2822" t="n">
        <v>0.0559</v>
      </c>
      <c r="S2822">
        <f>IMAGE("https://mitra.stanford.edu/kundaje/oak/projects/neuro-variants/variant_position/credible/roussos_2024/variant_figures/roussos_2024.infant.GLU/rs6800277_count_position.png",4,220,900)</f>
        <v/>
      </c>
      <c r="T2822">
        <f>IMAGE("https://mitra.stanford.edu/kundaje/oak/projects/neuro-variants/variant_position/credible/roussos_2024/variant_figures/roussos_2024.infant.GLU/rs6800277_profile_position.png",4,220,900)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-0.0884173848</v>
      </c>
      <c r="G2823" t="n">
        <v>0.06774725864897441</v>
      </c>
      <c r="H2823" t="n">
        <v>0.0166844549951916</v>
      </c>
      <c r="I2823" t="n">
        <v>0.2922419684177331</v>
      </c>
      <c r="J2823" t="n">
        <v>0.07230538592120631</v>
      </c>
      <c r="K2823" t="n">
        <v>0.2692866902784688</v>
      </c>
      <c r="L2823" t="b">
        <v>0</v>
      </c>
      <c r="M2823" t="b">
        <v>0</v>
      </c>
      <c r="N2823" t="inlineStr">
        <is>
          <t>ref</t>
        </is>
      </c>
      <c r="O2823" t="n">
        <v>55</v>
      </c>
      <c r="P2823" t="n">
        <v>0.0313</v>
      </c>
      <c r="Q2823" t="n">
        <v>65</v>
      </c>
      <c r="R2823" t="n">
        <v>0.07556</v>
      </c>
      <c r="S2823">
        <f>IMAGE("https://mitra.stanford.edu/kundaje/oak/projects/neuro-variants/variant_position/credible/roussos_2024/variant_figures/roussos_2024.infant.GLU/rs12637049_count_position.png",4,220,900)</f>
        <v/>
      </c>
      <c r="T2823">
        <f>IMAGE("https://mitra.stanford.edu/kundaje/oak/projects/neuro-variants/variant_position/credible/roussos_2024/variant_figures/roussos_2024.infant.GLU/rs12637049_profile_position.png",4,220,900)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0.0275542816</v>
      </c>
      <c r="G2824" t="n">
        <v>0.2288057490739169</v>
      </c>
      <c r="H2824" t="n">
        <v>0.0145057368019677</v>
      </c>
      <c r="I2824" t="n">
        <v>0.3885635876146729</v>
      </c>
      <c r="J2824" t="n">
        <v>0.08454882162305161</v>
      </c>
      <c r="K2824" t="n">
        <v>0.2441163447698836</v>
      </c>
      <c r="L2824" t="b">
        <v>0</v>
      </c>
      <c r="M2824" t="b">
        <v>0</v>
      </c>
      <c r="N2824" t="inlineStr">
        <is>
          <t>alt</t>
        </is>
      </c>
      <c r="O2824" t="n">
        <v>0</v>
      </c>
      <c r="P2824" t="n">
        <v>0</v>
      </c>
      <c r="Q2824" t="n">
        <v>20</v>
      </c>
      <c r="R2824" t="n">
        <v>0.03662</v>
      </c>
      <c r="S2824">
        <f>IMAGE("https://mitra.stanford.edu/kundaje/oak/projects/neuro-variants/variant_position/credible/roussos_2024/variant_figures/roussos_2024.infant.GLU/rs61342226_count_position.png",4,220,900)</f>
        <v/>
      </c>
      <c r="T2824">
        <f>IMAGE("https://mitra.stanford.edu/kundaje/oak/projects/neuro-variants/variant_position/credible/roussos_2024/variant_figures/roussos_2024.infant.GLU/rs61342226_profile_position.png",4,220,900)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-0.1056877330799999</v>
      </c>
      <c r="G2825" t="n">
        <v>0.06322562422731701</v>
      </c>
      <c r="H2825" t="n">
        <v>0.0193898839361085</v>
      </c>
      <c r="I2825" t="n">
        <v>0.2106665054092997</v>
      </c>
      <c r="J2825" t="n">
        <v>0.0951112237924116</v>
      </c>
      <c r="K2825" t="n">
        <v>0.2269194218081714</v>
      </c>
      <c r="L2825" t="b">
        <v>0</v>
      </c>
      <c r="M2825" t="b">
        <v>0</v>
      </c>
      <c r="N2825" t="inlineStr">
        <is>
          <t>ref</t>
        </is>
      </c>
      <c r="O2825" t="n">
        <v>-30</v>
      </c>
      <c r="P2825" t="n">
        <v>0.01192</v>
      </c>
      <c r="Q2825" t="n">
        <v>-55</v>
      </c>
      <c r="R2825" t="n">
        <v>0.09279999999999999</v>
      </c>
      <c r="S2825">
        <f>IMAGE("https://mitra.stanford.edu/kundaje/oak/projects/neuro-variants/variant_position/credible/roussos_2024/variant_figures/roussos_2024.infant.GLU/rs34809784_count_position.png",4,220,900)</f>
        <v/>
      </c>
      <c r="T2825">
        <f>IMAGE("https://mitra.stanford.edu/kundaje/oak/projects/neuro-variants/variant_position/credible/roussos_2024/variant_figures/roussos_2024.infant.GLU/rs34809784_profile_position.png",4,220,900)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-0.0287514822</v>
      </c>
      <c r="G2826" t="n">
        <v>0.3294956373029607</v>
      </c>
      <c r="H2826" t="n">
        <v>0.0391104589326516</v>
      </c>
      <c r="I2826" t="n">
        <v>0.0219930309467056</v>
      </c>
      <c r="J2826" t="n">
        <v>0.0091227760753102</v>
      </c>
      <c r="K2826" t="n">
        <v>0.674741250073985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0.0431</v>
      </c>
      <c r="Q2826" t="n">
        <v>50</v>
      </c>
      <c r="R2826" t="n">
        <v>0.07630000000000001</v>
      </c>
      <c r="S2826">
        <f>IMAGE("https://mitra.stanford.edu/kundaje/oak/projects/neuro-variants/variant_position/credible/roussos_2024/variant_figures/roussos_2024.infant.GLU/rs13098556_count_position.png",4,220,900)</f>
        <v/>
      </c>
      <c r="T2826">
        <f>IMAGE("https://mitra.stanford.edu/kundaje/oak/projects/neuro-variants/variant_position/credible/roussos_2024/variant_figures/roussos_2024.infant.GLU/rs13098556_profile_position.png",4,220,900)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0.140853218</v>
      </c>
      <c r="G2827" t="n">
        <v>0.0284297531830936</v>
      </c>
      <c r="H2827" t="n">
        <v>0.0244858699861088</v>
      </c>
      <c r="I2827" t="n">
        <v>0.1068589620363648</v>
      </c>
      <c r="J2827" t="n">
        <v>0.0332095063824158</v>
      </c>
      <c r="K2827" t="n">
        <v>0.4470198180943311</v>
      </c>
      <c r="L2827" t="b">
        <v>0</v>
      </c>
      <c r="M2827" t="b">
        <v>0</v>
      </c>
      <c r="N2827" t="inlineStr">
        <is>
          <t>alt</t>
        </is>
      </c>
      <c r="O2827" t="n">
        <v>-45</v>
      </c>
      <c r="P2827" t="n">
        <v>0.09045</v>
      </c>
      <c r="Q2827" t="n">
        <v>-65</v>
      </c>
      <c r="R2827" t="n">
        <v>0.12256</v>
      </c>
      <c r="S2827">
        <f>IMAGE("https://mitra.stanford.edu/kundaje/oak/projects/neuro-variants/variant_position/credible/roussos_2024/variant_figures/roussos_2024.infant.GLU/rs12629678_count_position.png",4,220,900)</f>
        <v/>
      </c>
      <c r="T2827">
        <f>IMAGE("https://mitra.stanford.edu/kundaje/oak/projects/neuro-variants/variant_position/credible/roussos_2024/variant_figures/roussos_2024.infant.GLU/rs12629678_profile_position.png",4,220,900)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-0.0553138279999999</v>
      </c>
      <c r="G2828" t="n">
        <v>0.1494505809435882</v>
      </c>
      <c r="H2828" t="n">
        <v>0.009692996310341999</v>
      </c>
      <c r="I2828" t="n">
        <v>0.7590945693553841</v>
      </c>
      <c r="J2828" t="n">
        <v>0.0041469168191538</v>
      </c>
      <c r="K2828" t="n">
        <v>0.7874498449471961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0.0137</v>
      </c>
      <c r="Q2828" t="n">
        <v>85</v>
      </c>
      <c r="R2828" t="n">
        <v>0.05334</v>
      </c>
      <c r="S2828">
        <f>IMAGE("https://mitra.stanford.edu/kundaje/oak/projects/neuro-variants/variant_position/credible/roussos_2024/variant_figures/roussos_2024.infant.GLU/rs13090291_count_position.png",4,220,900)</f>
        <v/>
      </c>
      <c r="T2828">
        <f>IMAGE("https://mitra.stanford.edu/kundaje/oak/projects/neuro-variants/variant_position/credible/roussos_2024/variant_figures/roussos_2024.infant.GLU/rs13090291_profile_position.png",4,220,900)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0.039864775</v>
      </c>
      <c r="G2829" t="n">
        <v>0.2273290644997705</v>
      </c>
      <c r="H2829" t="n">
        <v>0.0122446508657135</v>
      </c>
      <c r="I2829" t="n">
        <v>0.5389284396669487</v>
      </c>
      <c r="J2829" t="n">
        <v>0.0061343944972331</v>
      </c>
      <c r="K2829" t="n">
        <v>0.7375029942324861</v>
      </c>
      <c r="L2829" t="b">
        <v>0</v>
      </c>
      <c r="M2829" t="b">
        <v>0</v>
      </c>
      <c r="N2829" t="inlineStr">
        <is>
          <t>alt</t>
        </is>
      </c>
      <c r="O2829" t="n">
        <v>-75</v>
      </c>
      <c r="P2829" t="n">
        <v>0.004745</v>
      </c>
      <c r="Q2829" t="n">
        <v>10</v>
      </c>
      <c r="R2829" t="n">
        <v>0.006104</v>
      </c>
      <c r="S2829">
        <f>IMAGE("https://mitra.stanford.edu/kundaje/oak/projects/neuro-variants/variant_position/credible/roussos_2024/variant_figures/roussos_2024.infant.GLU/rs1119975_count_position.png",4,220,900)</f>
        <v/>
      </c>
      <c r="T2829">
        <f>IMAGE("https://mitra.stanford.edu/kundaje/oak/projects/neuro-variants/variant_position/credible/roussos_2024/variant_figures/roussos_2024.infant.GLU/rs1119975_profile_position.png",4,220,900)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0.0582692926</v>
      </c>
      <c r="G2830" t="n">
        <v>0.1360692868711706</v>
      </c>
      <c r="H2830" t="n">
        <v>0.0124216710212089</v>
      </c>
      <c r="I2830" t="n">
        <v>0.5254720367693927</v>
      </c>
      <c r="J2830" t="n">
        <v>0.3451310654996803</v>
      </c>
      <c r="K2830" t="n">
        <v>0.0565817938261525</v>
      </c>
      <c r="L2830" t="b">
        <v>0</v>
      </c>
      <c r="M2830" t="b">
        <v>0</v>
      </c>
      <c r="N2830" t="inlineStr">
        <is>
          <t>alt</t>
        </is>
      </c>
      <c r="O2830" t="n">
        <v>-45</v>
      </c>
      <c r="P2830" t="n">
        <v>0.09155000000000001</v>
      </c>
      <c r="Q2830" t="n">
        <v>80</v>
      </c>
      <c r="R2830" t="n">
        <v>0.2056</v>
      </c>
      <c r="S2830">
        <f>IMAGE("https://mitra.stanford.edu/kundaje/oak/projects/neuro-variants/variant_position/credible/roussos_2024/variant_figures/roussos_2024.infant.GLU/rs35626895_count_position.png",4,220,900)</f>
        <v/>
      </c>
      <c r="T2830">
        <f>IMAGE("https://mitra.stanford.edu/kundaje/oak/projects/neuro-variants/variant_position/credible/roussos_2024/variant_figures/roussos_2024.infant.GLU/rs35626895_profile_position.png",4,220,900)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0.0017554335</v>
      </c>
      <c r="G2831" t="n">
        <v>0.8007230753875599</v>
      </c>
      <c r="H2831" t="n">
        <v>0.0333626730403991</v>
      </c>
      <c r="I2831" t="n">
        <v>0.0402887817959196</v>
      </c>
      <c r="J2831" t="n">
        <v>0.3354813818646795</v>
      </c>
      <c r="K2831" t="n">
        <v>0.0585740761026648</v>
      </c>
      <c r="L2831" t="b">
        <v>0</v>
      </c>
      <c r="M2831" t="b">
        <v>0</v>
      </c>
      <c r="N2831" t="inlineStr">
        <is>
          <t>alt</t>
        </is>
      </c>
      <c r="O2831" t="n">
        <v>-100</v>
      </c>
      <c r="P2831" t="n">
        <v>0.01193</v>
      </c>
      <c r="Q2831" t="n">
        <v>10</v>
      </c>
      <c r="R2831" t="n">
        <v>0.01764</v>
      </c>
      <c r="S2831">
        <f>IMAGE("https://mitra.stanford.edu/kundaje/oak/projects/neuro-variants/variant_position/credible/roussos_2024/variant_figures/roussos_2024.infant.GLU/rs871932_count_position.png",4,220,900)</f>
        <v/>
      </c>
      <c r="T2831">
        <f>IMAGE("https://mitra.stanford.edu/kundaje/oak/projects/neuro-variants/variant_position/credible/roussos_2024/variant_figures/roussos_2024.infant.GLU/rs871932_profile_position.png",4,220,900)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-0.0319538806</v>
      </c>
      <c r="G2832" t="n">
        <v>0.2691480622059232</v>
      </c>
      <c r="H2832" t="n">
        <v>0.0088767073338261</v>
      </c>
      <c r="I2832" t="n">
        <v>0.8175163077854987</v>
      </c>
      <c r="J2832" t="n">
        <v>0.0491060208558389</v>
      </c>
      <c r="K2832" t="n">
        <v>0.3487672814157106</v>
      </c>
      <c r="L2832" t="b">
        <v>0</v>
      </c>
      <c r="M2832" t="b">
        <v>0</v>
      </c>
      <c r="N2832" t="inlineStr">
        <is>
          <t>ref</t>
        </is>
      </c>
      <c r="O2832" t="n">
        <v>-20</v>
      </c>
      <c r="P2832" t="n">
        <v>0.00383</v>
      </c>
      <c r="Q2832" t="n">
        <v>-85</v>
      </c>
      <c r="R2832" t="n">
        <v>0.01172</v>
      </c>
      <c r="S2832">
        <f>IMAGE("https://mitra.stanford.edu/kundaje/oak/projects/neuro-variants/variant_position/credible/roussos_2024/variant_figures/roussos_2024.infant.GLU/rs6804840_count_position.png",4,220,900)</f>
        <v/>
      </c>
      <c r="T2832">
        <f>IMAGE("https://mitra.stanford.edu/kundaje/oak/projects/neuro-variants/variant_position/credible/roussos_2024/variant_figures/roussos_2024.infant.GLU/rs6804840_profile_position.png",4,220,900)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-0.0330389839</v>
      </c>
      <c r="G2833" t="n">
        <v>0.3131837464300305</v>
      </c>
      <c r="H2833" t="n">
        <v>0.0104352277530572</v>
      </c>
      <c r="I2833" t="n">
        <v>0.702185893245408</v>
      </c>
      <c r="J2833" t="n">
        <v>0.0229689807976365</v>
      </c>
      <c r="K2833" t="n">
        <v>0.5165215868128106</v>
      </c>
      <c r="L2833" t="b">
        <v>0</v>
      </c>
      <c r="M2833" t="b">
        <v>0</v>
      </c>
      <c r="N2833" t="inlineStr">
        <is>
          <t>ref</t>
        </is>
      </c>
      <c r="O2833" t="n">
        <v>-10</v>
      </c>
      <c r="P2833" t="n">
        <v>0.002953</v>
      </c>
      <c r="Q2833" t="n">
        <v>100</v>
      </c>
      <c r="R2833" t="n">
        <v>0.121</v>
      </c>
      <c r="S2833">
        <f>IMAGE("https://mitra.stanford.edu/kundaje/oak/projects/neuro-variants/variant_position/credible/roussos_2024/variant_figures/roussos_2024.infant.GLU/rs35797074_count_position.png",4,220,900)</f>
        <v/>
      </c>
      <c r="T2833">
        <f>IMAGE("https://mitra.stanford.edu/kundaje/oak/projects/neuro-variants/variant_position/credible/roussos_2024/variant_figures/roussos_2024.infant.GLU/rs35797074_profile_position.png",4,220,900)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-0.0505858021999999</v>
      </c>
      <c r="G2834" t="n">
        <v>0.1849977215456186</v>
      </c>
      <c r="H2834" t="n">
        <v>0.0133895742223238</v>
      </c>
      <c r="I2834" t="n">
        <v>0.4592036103637074</v>
      </c>
      <c r="J2834" t="n">
        <v>0.0342600145505853</v>
      </c>
      <c r="K2834" t="n">
        <v>0.4197422239443425</v>
      </c>
      <c r="L2834" t="b">
        <v>0</v>
      </c>
      <c r="M2834" t="b">
        <v>0</v>
      </c>
      <c r="N2834" t="inlineStr">
        <is>
          <t>ref</t>
        </is>
      </c>
      <c r="O2834" t="n">
        <v>100</v>
      </c>
      <c r="P2834" t="n">
        <v>0.008995</v>
      </c>
      <c r="Q2834" t="n">
        <v>-100</v>
      </c>
      <c r="R2834" t="n">
        <v>0.11224</v>
      </c>
      <c r="S2834">
        <f>IMAGE("https://mitra.stanford.edu/kundaje/oak/projects/neuro-variants/variant_position/credible/roussos_2024/variant_figures/roussos_2024.infant.GLU/rs12638648_count_position.png",4,220,900)</f>
        <v/>
      </c>
      <c r="T2834">
        <f>IMAGE("https://mitra.stanford.edu/kundaje/oak/projects/neuro-variants/variant_position/credible/roussos_2024/variant_figures/roussos_2024.infant.GLU/rs12638648_profile_position.png",4,220,900)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0.0403993724</v>
      </c>
      <c r="G2835" t="n">
        <v>0.2248857452561414</v>
      </c>
      <c r="H2835" t="n">
        <v>0.041863417450664</v>
      </c>
      <c r="I2835" t="n">
        <v>0.0167339420333489</v>
      </c>
      <c r="J2835" t="n">
        <v>0.0722160982384972</v>
      </c>
      <c r="K2835" t="n">
        <v>0.276821969971722</v>
      </c>
      <c r="L2835" t="b">
        <v>1</v>
      </c>
      <c r="M2835" t="b">
        <v>0</v>
      </c>
      <c r="N2835" t="inlineStr">
        <is>
          <t>alt</t>
        </is>
      </c>
      <c r="O2835" t="n">
        <v>-85</v>
      </c>
      <c r="P2835" t="n">
        <v>0.02068</v>
      </c>
      <c r="Q2835" t="n">
        <v>100</v>
      </c>
      <c r="R2835" t="n">
        <v>0.04596</v>
      </c>
      <c r="S2835">
        <f>IMAGE("https://mitra.stanford.edu/kundaje/oak/projects/neuro-variants/variant_position/credible/roussos_2024/variant_figures/roussos_2024.infant.GLU/rs6789240_count_position.png",4,220,900)</f>
        <v/>
      </c>
      <c r="T2835">
        <f>IMAGE("https://mitra.stanford.edu/kundaje/oak/projects/neuro-variants/variant_position/credible/roussos_2024/variant_figures/roussos_2024.infant.GLU/rs6789240_profile_position.png",4,220,900)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0.0122119953</v>
      </c>
      <c r="G2836" t="n">
        <v>0.5770726902595811</v>
      </c>
      <c r="H2836" t="n">
        <v>0.0328836209287149</v>
      </c>
      <c r="I2836" t="n">
        <v>0.0422391263869042</v>
      </c>
      <c r="J2836" t="n">
        <v>0.0329008576026807</v>
      </c>
      <c r="K2836" t="n">
        <v>0.4345343446836344</v>
      </c>
      <c r="L2836" t="b">
        <v>0</v>
      </c>
      <c r="M2836" t="b">
        <v>0</v>
      </c>
      <c r="N2836" t="inlineStr">
        <is>
          <t>alt</t>
        </is>
      </c>
      <c r="O2836" t="n">
        <v>-25</v>
      </c>
      <c r="P2836" t="n">
        <v>0.00611</v>
      </c>
      <c r="Q2836" t="n">
        <v>-65</v>
      </c>
      <c r="R2836" t="n">
        <v>0.0752</v>
      </c>
      <c r="S2836">
        <f>IMAGE("https://mitra.stanford.edu/kundaje/oak/projects/neuro-variants/variant_position/credible/roussos_2024/variant_figures/roussos_2024.infant.GLU/rs13088846_count_position.png",4,220,900)</f>
        <v/>
      </c>
      <c r="T2836">
        <f>IMAGE("https://mitra.stanford.edu/kundaje/oak/projects/neuro-variants/variant_position/credible/roussos_2024/variant_figures/roussos_2024.infant.GLU/rs13088846_profile_position.png",4,220,900)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-0.0174114635399999</v>
      </c>
      <c r="G2837" t="n">
        <v>0.5168044761154819</v>
      </c>
      <c r="H2837" t="n">
        <v>0.0261554759655447</v>
      </c>
      <c r="I2837" t="n">
        <v>0.0882016371805351</v>
      </c>
      <c r="J2837" t="n">
        <v>0.0302310456579729</v>
      </c>
      <c r="K2837" t="n">
        <v>0.4482253882515072</v>
      </c>
      <c r="L2837" t="b">
        <v>0</v>
      </c>
      <c r="M2837" t="b">
        <v>0</v>
      </c>
      <c r="N2837" t="inlineStr">
        <is>
          <t>ref</t>
        </is>
      </c>
      <c r="O2837" t="n">
        <v>-10</v>
      </c>
      <c r="P2837" t="n">
        <v>0.01598</v>
      </c>
      <c r="Q2837" t="n">
        <v>75</v>
      </c>
      <c r="R2837" t="n">
        <v>0.0498</v>
      </c>
      <c r="S2837">
        <f>IMAGE("https://mitra.stanford.edu/kundaje/oak/projects/neuro-variants/variant_position/credible/roussos_2024/variant_figures/roussos_2024.infant.GLU/rs6792256_count_position.png",4,220,900)</f>
        <v/>
      </c>
      <c r="T2837">
        <f>IMAGE("https://mitra.stanford.edu/kundaje/oak/projects/neuro-variants/variant_position/credible/roussos_2024/variant_figures/roussos_2024.infant.GLU/rs6792256_profile_position.png",4,220,900)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-0.0254165336</v>
      </c>
      <c r="G2838" t="n">
        <v>0.3763509225161489</v>
      </c>
      <c r="H2838" t="n">
        <v>0.0254489763933636</v>
      </c>
      <c r="I2838" t="n">
        <v>0.0957324184136918</v>
      </c>
      <c r="J2838" t="n">
        <v>0.006788068520029</v>
      </c>
      <c r="K2838" t="n">
        <v>0.7177053254521758</v>
      </c>
      <c r="L2838" t="b">
        <v>0</v>
      </c>
      <c r="M2838" t="b">
        <v>0</v>
      </c>
      <c r="N2838" t="inlineStr">
        <is>
          <t>ref</t>
        </is>
      </c>
      <c r="O2838" t="n">
        <v>50</v>
      </c>
      <c r="P2838" t="n">
        <v>0.01688</v>
      </c>
      <c r="Q2838" t="n">
        <v>95</v>
      </c>
      <c r="R2838" t="n">
        <v>0.04633</v>
      </c>
      <c r="S2838">
        <f>IMAGE("https://mitra.stanford.edu/kundaje/oak/projects/neuro-variants/variant_position/credible/roussos_2024/variant_figures/roussos_2024.infant.GLU/rs7612699_count_position.png",4,220,900)</f>
        <v/>
      </c>
      <c r="T2838">
        <f>IMAGE("https://mitra.stanford.edu/kundaje/oak/projects/neuro-variants/variant_position/credible/roussos_2024/variant_figures/roussos_2024.infant.GLU/rs7612699_profile_position.png",4,220,900)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0.0328648518</v>
      </c>
      <c r="G2839" t="n">
        <v>0.2834042692023891</v>
      </c>
      <c r="H2839" t="n">
        <v>0.0088807435747275</v>
      </c>
      <c r="I2839" t="n">
        <v>0.804106597395013</v>
      </c>
      <c r="J2839" t="n">
        <v>0.0170671752022751</v>
      </c>
      <c r="K2839" t="n">
        <v>0.56941105856561</v>
      </c>
      <c r="L2839" t="b">
        <v>0</v>
      </c>
      <c r="M2839" t="b">
        <v>0</v>
      </c>
      <c r="N2839" t="inlineStr">
        <is>
          <t>alt</t>
        </is>
      </c>
      <c r="O2839" t="n">
        <v>-60</v>
      </c>
      <c r="P2839" t="n">
        <v>0.01427</v>
      </c>
      <c r="Q2839" t="n">
        <v>35</v>
      </c>
      <c r="R2839" t="n">
        <v>0.05347</v>
      </c>
      <c r="S2839">
        <f>IMAGE("https://mitra.stanford.edu/kundaje/oak/projects/neuro-variants/variant_position/credible/roussos_2024/variant_figures/roussos_2024.infant.GLU/rs6983_count_position.png",4,220,900)</f>
        <v/>
      </c>
      <c r="T2839">
        <f>IMAGE("https://mitra.stanford.edu/kundaje/oak/projects/neuro-variants/variant_position/credible/roussos_2024/variant_figures/roussos_2024.infant.GLU/rs6983_profile_position.png",4,220,900)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-0.0599646774</v>
      </c>
      <c r="G2840" t="n">
        <v>0.1481385170701896</v>
      </c>
      <c r="H2840" t="n">
        <v>0.0147475456972484</v>
      </c>
      <c r="I2840" t="n">
        <v>0.3816213925267372</v>
      </c>
      <c r="J2840" t="n">
        <v>0.1870367512511298</v>
      </c>
      <c r="K2840" t="n">
        <v>0.1176444477677192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0.1636</v>
      </c>
      <c r="Q2840" t="n">
        <v>-100</v>
      </c>
      <c r="R2840" t="n">
        <v>0.383</v>
      </c>
      <c r="S2840">
        <f>IMAGE("https://mitra.stanford.edu/kundaje/oak/projects/neuro-variants/variant_position/credible/roussos_2024/variant_figures/roussos_2024.infant.GLU/rs9825834_count_position.png",4,220,900)</f>
        <v/>
      </c>
      <c r="T2840">
        <f>IMAGE("https://mitra.stanford.edu/kundaje/oak/projects/neuro-variants/variant_position/credible/roussos_2024/variant_figures/roussos_2024.infant.GLU/rs9825834_profile_position.png",4,220,900)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0.0018682744599999</v>
      </c>
      <c r="G2841" t="n">
        <v>0.6341758557496425</v>
      </c>
      <c r="H2841" t="n">
        <v>0.0401559285343975</v>
      </c>
      <c r="I2841" t="n">
        <v>0.0200826793437942</v>
      </c>
      <c r="J2841" t="n">
        <v>0.1956370290350316</v>
      </c>
      <c r="K2841" t="n">
        <v>0.1120951174186551</v>
      </c>
      <c r="L2841" t="b">
        <v>0</v>
      </c>
      <c r="M2841" t="b">
        <v>0</v>
      </c>
      <c r="N2841" t="inlineStr">
        <is>
          <t>alt</t>
        </is>
      </c>
      <c r="O2841" t="n">
        <v>70</v>
      </c>
      <c r="P2841" t="n">
        <v>0.03308</v>
      </c>
      <c r="Q2841" t="n">
        <v>-40</v>
      </c>
      <c r="R2841" t="n">
        <v>0.1501</v>
      </c>
      <c r="S2841">
        <f>IMAGE("https://mitra.stanford.edu/kundaje/oak/projects/neuro-variants/variant_position/credible/roussos_2024/variant_figures/roussos_2024.infant.GLU/rs28649009_count_position.png",4,220,900)</f>
        <v/>
      </c>
      <c r="T2841">
        <f>IMAGE("https://mitra.stanford.edu/kundaje/oak/projects/neuro-variants/variant_position/credible/roussos_2024/variant_figures/roussos_2024.infant.GLU/rs28649009_profile_position.png",4,220,900)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0.00681791458</v>
      </c>
      <c r="G2842" t="n">
        <v>0.7171068808503755</v>
      </c>
      <c r="H2842" t="n">
        <v>0.0298671473528761</v>
      </c>
      <c r="I2842" t="n">
        <v>0.058596118920629</v>
      </c>
      <c r="J2842" t="n">
        <v>0.0025783196278577</v>
      </c>
      <c r="K2842" t="n">
        <v>0.8367772222130956</v>
      </c>
      <c r="L2842" t="b">
        <v>0</v>
      </c>
      <c r="M2842" t="b">
        <v>0</v>
      </c>
      <c r="N2842" t="inlineStr">
        <is>
          <t>alt</t>
        </is>
      </c>
      <c r="O2842" t="n">
        <v>-80</v>
      </c>
      <c r="P2842" t="n">
        <v>0.01122</v>
      </c>
      <c r="Q2842" t="n">
        <v>100</v>
      </c>
      <c r="R2842" t="n">
        <v>0.14</v>
      </c>
      <c r="S2842">
        <f>IMAGE("https://mitra.stanford.edu/kundaje/oak/projects/neuro-variants/variant_position/credible/roussos_2024/variant_figures/roussos_2024.infant.GLU/rs9838212_count_position.png",4,220,900)</f>
        <v/>
      </c>
      <c r="T2842">
        <f>IMAGE("https://mitra.stanford.edu/kundaje/oak/projects/neuro-variants/variant_position/credible/roussos_2024/variant_figures/roussos_2024.infant.GLU/rs9838212_profile_position.png",4,220,900)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0.0139089248</v>
      </c>
      <c r="G2843" t="n">
        <v>0.5391625539463751</v>
      </c>
      <c r="H2843" t="n">
        <v>0.0606757306374575</v>
      </c>
      <c r="I2843" t="n">
        <v>0.0029726807960757</v>
      </c>
      <c r="J2843" t="n">
        <v>0.0351451751581824</v>
      </c>
      <c r="K2843" t="n">
        <v>0.41793992732187</v>
      </c>
      <c r="L2843" t="b">
        <v>1</v>
      </c>
      <c r="M2843" t="b">
        <v>0</v>
      </c>
      <c r="N2843" t="inlineStr">
        <is>
          <t>alt</t>
        </is>
      </c>
      <c r="O2843" t="n">
        <v>-25</v>
      </c>
      <c r="P2843" t="n">
        <v>0.005127</v>
      </c>
      <c r="Q2843" t="n">
        <v>-65</v>
      </c>
      <c r="R2843" t="n">
        <v>0.1332</v>
      </c>
      <c r="S2843">
        <f>IMAGE("https://mitra.stanford.edu/kundaje/oak/projects/neuro-variants/variant_position/credible/roussos_2024/variant_figures/roussos_2024.infant.GLU/rs9854353_count_position.png",4,220,900)</f>
        <v/>
      </c>
      <c r="T2843">
        <f>IMAGE("https://mitra.stanford.edu/kundaje/oak/projects/neuro-variants/variant_position/credible/roussos_2024/variant_figures/roussos_2024.infant.GLU/rs9854353_profile_position.png",4,220,900)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0.0171024634</v>
      </c>
      <c r="G2844" t="n">
        <v>0.4788513009046804</v>
      </c>
      <c r="H2844" t="n">
        <v>0.033489441299261</v>
      </c>
      <c r="I2844" t="n">
        <v>0.0395565518706843</v>
      </c>
      <c r="J2844" t="n">
        <v>0.0522321920677263</v>
      </c>
      <c r="K2844" t="n">
        <v>0.3455115111385327</v>
      </c>
      <c r="L2844" t="b">
        <v>0</v>
      </c>
      <c r="M2844" t="b">
        <v>0</v>
      </c>
      <c r="N2844" t="inlineStr">
        <is>
          <t>alt</t>
        </is>
      </c>
      <c r="O2844" t="n">
        <v>5</v>
      </c>
      <c r="P2844" t="n">
        <v>0.001892</v>
      </c>
      <c r="Q2844" t="n">
        <v>100</v>
      </c>
      <c r="R2844" t="n">
        <v>0.0415</v>
      </c>
      <c r="S2844">
        <f>IMAGE("https://mitra.stanford.edu/kundaje/oak/projects/neuro-variants/variant_position/credible/roussos_2024/variant_figures/roussos_2024.infant.GLU/rs3866226_count_position.png",4,220,900)</f>
        <v/>
      </c>
      <c r="T2844">
        <f>IMAGE("https://mitra.stanford.edu/kundaje/oak/projects/neuro-variants/variant_position/credible/roussos_2024/variant_figures/roussos_2024.infant.GLU/rs3866226_profile_position.png",4,220,900)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-0.1095758672</v>
      </c>
      <c r="G2845" t="n">
        <v>0.0454052405567398</v>
      </c>
      <c r="H2845" t="n">
        <v>0.0160267101894144</v>
      </c>
      <c r="I2845" t="n">
        <v>0.3280376724559196</v>
      </c>
      <c r="J2845" t="n">
        <v>0.165649595449635</v>
      </c>
      <c r="K2845" t="n">
        <v>0.1330606491861754</v>
      </c>
      <c r="L2845" t="b">
        <v>0</v>
      </c>
      <c r="M2845" t="b">
        <v>0</v>
      </c>
      <c r="N2845" t="inlineStr">
        <is>
          <t>ref</t>
        </is>
      </c>
      <c r="O2845" t="n">
        <v>-55</v>
      </c>
      <c r="P2845" t="n">
        <v>0.003296</v>
      </c>
      <c r="Q2845" t="n">
        <v>50</v>
      </c>
      <c r="R2845" t="n">
        <v>0.0169</v>
      </c>
      <c r="S2845">
        <f>IMAGE("https://mitra.stanford.edu/kundaje/oak/projects/neuro-variants/variant_position/credible/roussos_2024/variant_figures/roussos_2024.infant.GLU/rs875250_count_position.png",4,220,900)</f>
        <v/>
      </c>
      <c r="T2845">
        <f>IMAGE("https://mitra.stanford.edu/kundaje/oak/projects/neuro-variants/variant_position/credible/roussos_2024/variant_figures/roussos_2024.infant.GLU/rs875250_profile_position.png",4,220,900)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0.1489706167999999</v>
      </c>
      <c r="G2846" t="n">
        <v>0.0215965707110604</v>
      </c>
      <c r="H2846" t="n">
        <v>0.0183678321736871</v>
      </c>
      <c r="I2846" t="n">
        <v>0.2325511043600441</v>
      </c>
      <c r="J2846" t="n">
        <v>0.16101986375361</v>
      </c>
      <c r="K2846" t="n">
        <v>0.144274417390538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0.02429</v>
      </c>
      <c r="Q2846" t="n">
        <v>100</v>
      </c>
      <c r="R2846" t="n">
        <v>0.07025000000000001</v>
      </c>
      <c r="S2846">
        <f>IMAGE("https://mitra.stanford.edu/kundaje/oak/projects/neuro-variants/variant_position/credible/roussos_2024/variant_figures/roussos_2024.infant.GLU/rs62291400_count_position.png",4,220,900)</f>
        <v/>
      </c>
      <c r="T2846">
        <f>IMAGE("https://mitra.stanford.edu/kundaje/oak/projects/neuro-variants/variant_position/credible/roussos_2024/variant_figures/roussos_2024.infant.GLU/rs62291400_profile_position.png",4,220,900)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0.0852875756</v>
      </c>
      <c r="G2847" t="n">
        <v>0.0779280604563308</v>
      </c>
      <c r="H2847" t="n">
        <v>0.0138711872598015</v>
      </c>
      <c r="I2847" t="n">
        <v>0.421766115906353</v>
      </c>
      <c r="J2847" t="n">
        <v>0.0121618642386295</v>
      </c>
      <c r="K2847" t="n">
        <v>0.6245022957962427</v>
      </c>
      <c r="L2847" t="b">
        <v>0</v>
      </c>
      <c r="M2847" t="b">
        <v>0</v>
      </c>
      <c r="N2847" t="inlineStr">
        <is>
          <t>alt</t>
        </is>
      </c>
      <c r="O2847" t="n">
        <v>55</v>
      </c>
      <c r="P2847" t="n">
        <v>0.04343</v>
      </c>
      <c r="Q2847" t="n">
        <v>50</v>
      </c>
      <c r="R2847" t="n">
        <v>0.0631</v>
      </c>
      <c r="S2847">
        <f>IMAGE("https://mitra.stanford.edu/kundaje/oak/projects/neuro-variants/variant_position/credible/roussos_2024/variant_figures/roussos_2024.infant.GLU/rs62291403_count_position.png",4,220,900)</f>
        <v/>
      </c>
      <c r="T2847">
        <f>IMAGE("https://mitra.stanford.edu/kundaje/oak/projects/neuro-variants/variant_position/credible/roussos_2024/variant_figures/roussos_2024.infant.GLU/rs62291403_profile_position.png",4,220,900)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0.0635322758</v>
      </c>
      <c r="G2848" t="n">
        <v>0.1094095380238578</v>
      </c>
      <c r="H2848" t="n">
        <v>0.0171883634229871</v>
      </c>
      <c r="I2848" t="n">
        <v>0.2650239490527643</v>
      </c>
      <c r="J2848" t="n">
        <v>0.0220231927511628</v>
      </c>
      <c r="K2848" t="n">
        <v>0.5316298228165387</v>
      </c>
      <c r="L2848" t="b">
        <v>0</v>
      </c>
      <c r="M2848" t="b">
        <v>0</v>
      </c>
      <c r="N2848" t="inlineStr">
        <is>
          <t>alt</t>
        </is>
      </c>
      <c r="O2848" t="n">
        <v>-70</v>
      </c>
      <c r="P2848" t="n">
        <v>0.004593</v>
      </c>
      <c r="Q2848" t="n">
        <v>-55</v>
      </c>
      <c r="R2848" t="n">
        <v>0.02411</v>
      </c>
      <c r="S2848">
        <f>IMAGE("https://mitra.stanford.edu/kundaje/oak/projects/neuro-variants/variant_position/credible/roussos_2024/variant_figures/roussos_2024.infant.GLU/rs13098541_count_position.png",4,220,900)</f>
        <v/>
      </c>
      <c r="T2848">
        <f>IMAGE("https://mitra.stanford.edu/kundaje/oak/projects/neuro-variants/variant_position/credible/roussos_2024/variant_figures/roussos_2024.infant.GLU/rs13098541_profile_position.png",4,220,900)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-0.0808911122</v>
      </c>
      <c r="G2849" t="n">
        <v>0.07374372457461829</v>
      </c>
      <c r="H2849" t="n">
        <v>0.0151225587901388</v>
      </c>
      <c r="I2849" t="n">
        <v>0.3542433606560099</v>
      </c>
      <c r="J2849" t="n">
        <v>0.179085738221742</v>
      </c>
      <c r="K2849" t="n">
        <v>0.1251399527441094</v>
      </c>
      <c r="L2849" t="b">
        <v>0</v>
      </c>
      <c r="M2849" t="b">
        <v>0</v>
      </c>
      <c r="N2849" t="inlineStr">
        <is>
          <t>ref</t>
        </is>
      </c>
      <c r="O2849" t="n">
        <v>75</v>
      </c>
      <c r="P2849" t="n">
        <v>0.008500000000000001</v>
      </c>
      <c r="Q2849" t="n">
        <v>-100</v>
      </c>
      <c r="R2849" t="n">
        <v>0.06383999999999999</v>
      </c>
      <c r="S2849">
        <f>IMAGE("https://mitra.stanford.edu/kundaje/oak/projects/neuro-variants/variant_position/credible/roussos_2024/variant_figures/roussos_2024.infant.GLU/rs35709455_count_position.png",4,220,900)</f>
        <v/>
      </c>
      <c r="T2849">
        <f>IMAGE("https://mitra.stanford.edu/kundaje/oak/projects/neuro-variants/variant_position/credible/roussos_2024/variant_figures/roussos_2024.infant.GLU/rs35709455_profile_position.png",4,220,900)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0.0465577562</v>
      </c>
      <c r="G2850" t="n">
        <v>0.1824920498314673</v>
      </c>
      <c r="H2850" t="n">
        <v>0.009589951322386299</v>
      </c>
      <c r="I2850" t="n">
        <v>0.7704935832481552</v>
      </c>
      <c r="J2850" t="n">
        <v>0.0076423642496527</v>
      </c>
      <c r="K2850" t="n">
        <v>0.7003189489038707</v>
      </c>
      <c r="L2850" t="b">
        <v>0</v>
      </c>
      <c r="M2850" t="b">
        <v>0</v>
      </c>
      <c r="N2850" t="inlineStr">
        <is>
          <t>alt</t>
        </is>
      </c>
      <c r="O2850" t="n">
        <v>-100</v>
      </c>
      <c r="P2850" t="n">
        <v>0.009050000000000001</v>
      </c>
      <c r="Q2850" t="n">
        <v>-25</v>
      </c>
      <c r="R2850" t="n">
        <v>0.03473</v>
      </c>
      <c r="S2850">
        <f>IMAGE("https://mitra.stanford.edu/kundaje/oak/projects/neuro-variants/variant_position/credible/roussos_2024/variant_figures/roussos_2024.infant.GLU/rs7635754_count_position.png",4,220,900)</f>
        <v/>
      </c>
      <c r="T2850">
        <f>IMAGE("https://mitra.stanford.edu/kundaje/oak/projects/neuro-variants/variant_position/credible/roussos_2024/variant_figures/roussos_2024.infant.GLU/rs7635754_profile_position.png",4,220,900)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0.0678293182</v>
      </c>
      <c r="G2851" t="n">
        <v>0.1080131300944698</v>
      </c>
      <c r="H2851" t="n">
        <v>0.0300065723301058</v>
      </c>
      <c r="I2851" t="n">
        <v>0.0582305586359952</v>
      </c>
      <c r="J2851" t="n">
        <v>0.0849765206463987</v>
      </c>
      <c r="K2851" t="n">
        <v>0.2407140927878817</v>
      </c>
      <c r="L2851" t="b">
        <v>0</v>
      </c>
      <c r="M2851" t="b">
        <v>0</v>
      </c>
      <c r="N2851" t="inlineStr">
        <is>
          <t>alt</t>
        </is>
      </c>
      <c r="O2851" t="n">
        <v>-5</v>
      </c>
      <c r="P2851" t="n">
        <v>0.0008698</v>
      </c>
      <c r="Q2851" t="n">
        <v>100</v>
      </c>
      <c r="R2851" t="n">
        <v>0.04535</v>
      </c>
      <c r="S2851">
        <f>IMAGE("https://mitra.stanford.edu/kundaje/oak/projects/neuro-variants/variant_position/credible/roussos_2024/variant_figures/roussos_2024.infant.GLU/rs4854998_count_position.png",4,220,900)</f>
        <v/>
      </c>
      <c r="T2851">
        <f>IMAGE("https://mitra.stanford.edu/kundaje/oak/projects/neuro-variants/variant_position/credible/roussos_2024/variant_figures/roussos_2024.infant.GLU/rs4854998_profile_position.png",4,220,900)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-0.1743313188</v>
      </c>
      <c r="G2852" t="n">
        <v>0.0151706338984967</v>
      </c>
      <c r="H2852" t="n">
        <v>0.021179709361899</v>
      </c>
      <c r="I2852" t="n">
        <v>0.1589169869908874</v>
      </c>
      <c r="J2852" t="n">
        <v>0.0817698802883661</v>
      </c>
      <c r="K2852" t="n">
        <v>0.2415466786087768</v>
      </c>
      <c r="L2852" t="b">
        <v>1</v>
      </c>
      <c r="M2852" t="b">
        <v>0</v>
      </c>
      <c r="N2852" t="inlineStr">
        <is>
          <t>ref</t>
        </is>
      </c>
      <c r="O2852" t="n">
        <v>100</v>
      </c>
      <c r="P2852" t="n">
        <v>0.04956</v>
      </c>
      <c r="Q2852" t="n">
        <v>95</v>
      </c>
      <c r="R2852" t="n">
        <v>0.10803</v>
      </c>
      <c r="S2852">
        <f>IMAGE("https://mitra.stanford.edu/kundaje/oak/projects/neuro-variants/variant_position/credible/roussos_2024/variant_figures/roussos_2024.infant.GLU/rs10490806_count_position.png",4,220,900)</f>
        <v/>
      </c>
      <c r="T2852">
        <f>IMAGE("https://mitra.stanford.edu/kundaje/oak/projects/neuro-variants/variant_position/credible/roussos_2024/variant_figures/roussos_2024.infant.GLU/rs10490806_profile_position.png",4,220,900)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-0.0015799767399999</v>
      </c>
      <c r="G2853" t="n">
        <v>0.8542876689336224</v>
      </c>
      <c r="H2853" t="n">
        <v>0.0386184220707006</v>
      </c>
      <c r="I2853" t="n">
        <v>0.0234642947724846</v>
      </c>
      <c r="J2853" t="n">
        <v>0.0039297603562688</v>
      </c>
      <c r="K2853" t="n">
        <v>0.7852156891780967</v>
      </c>
      <c r="L2853" t="b">
        <v>0</v>
      </c>
      <c r="M2853" t="b">
        <v>0</v>
      </c>
      <c r="N2853" t="inlineStr">
        <is>
          <t>ref</t>
        </is>
      </c>
      <c r="O2853" t="n">
        <v>-100</v>
      </c>
      <c r="P2853" t="n">
        <v>0.01941</v>
      </c>
      <c r="Q2853" t="n">
        <v>-100</v>
      </c>
      <c r="R2853" t="n">
        <v>0.1311</v>
      </c>
      <c r="S2853">
        <f>IMAGE("https://mitra.stanford.edu/kundaje/oak/projects/neuro-variants/variant_position/credible/roussos_2024/variant_figures/roussos_2024.infant.GLU/rs13083851_count_position.png",4,220,900)</f>
        <v/>
      </c>
      <c r="T2853">
        <f>IMAGE("https://mitra.stanford.edu/kundaje/oak/projects/neuro-variants/variant_position/credible/roussos_2024/variant_figures/roussos_2024.infant.GLU/rs13083851_profile_position.png",4,220,900)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-0.093472913</v>
      </c>
      <c r="G2854" t="n">
        <v>0.0642749724747692</v>
      </c>
      <c r="H2854" t="n">
        <v>0.0377795470692888</v>
      </c>
      <c r="I2854" t="n">
        <v>0.0253840934819835</v>
      </c>
      <c r="J2854" t="n">
        <v>0.0103209947309243</v>
      </c>
      <c r="K2854" t="n">
        <v>0.6756674818786134</v>
      </c>
      <c r="L2854" t="b">
        <v>0</v>
      </c>
      <c r="M2854" t="b">
        <v>0</v>
      </c>
      <c r="N2854" t="inlineStr">
        <is>
          <t>ref</t>
        </is>
      </c>
      <c r="O2854" t="n">
        <v>-65</v>
      </c>
      <c r="P2854" t="n">
        <v>0.004875</v>
      </c>
      <c r="Q2854" t="n">
        <v>0</v>
      </c>
      <c r="R2854" t="n">
        <v>0</v>
      </c>
      <c r="S2854">
        <f>IMAGE("https://mitra.stanford.edu/kundaje/oak/projects/neuro-variants/variant_position/credible/roussos_2024/variant_figures/roussos_2024.infant.GLU/rs12186104_count_position.png",4,220,900)</f>
        <v/>
      </c>
      <c r="T2854">
        <f>IMAGE("https://mitra.stanford.edu/kundaje/oak/projects/neuro-variants/variant_position/credible/roussos_2024/variant_figures/roussos_2024.infant.GLU/rs12186104_profile_position.png",4,220,900)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0.162244182</v>
      </c>
      <c r="G2855" t="n">
        <v>0.017975131458118</v>
      </c>
      <c r="H2855" t="n">
        <v>0.0289837707019369</v>
      </c>
      <c r="I2855" t="n">
        <v>0.06481213183750539</v>
      </c>
      <c r="J2855" t="n">
        <v>0.3286073326131528</v>
      </c>
      <c r="K2855" t="n">
        <v>0.0618441068015002</v>
      </c>
      <c r="L2855" t="b">
        <v>1</v>
      </c>
      <c r="M2855" t="b">
        <v>0</v>
      </c>
      <c r="N2855" t="inlineStr">
        <is>
          <t>alt</t>
        </is>
      </c>
      <c r="O2855" t="n">
        <v>-100</v>
      </c>
      <c r="P2855" t="n">
        <v>0.004395</v>
      </c>
      <c r="Q2855" t="n">
        <v>-100</v>
      </c>
      <c r="R2855" t="n">
        <v>0.03125</v>
      </c>
      <c r="S2855">
        <f>IMAGE("https://mitra.stanford.edu/kundaje/oak/projects/neuro-variants/variant_position/credible/roussos_2024/variant_figures/roussos_2024.infant.GLU/rs6777005_count_position.png",4,220,900)</f>
        <v/>
      </c>
      <c r="T2855">
        <f>IMAGE("https://mitra.stanford.edu/kundaje/oak/projects/neuro-variants/variant_position/credible/roussos_2024/variant_figures/roussos_2024.infant.GLU/rs6777005_profile_position.png",4,220,900)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-0.01895041686</v>
      </c>
      <c r="G2856" t="n">
        <v>0.4839575975331772</v>
      </c>
      <c r="H2856" t="n">
        <v>0.0217744322303024</v>
      </c>
      <c r="I2856" t="n">
        <v>0.147747624813726</v>
      </c>
      <c r="J2856" t="n">
        <v>0.0351010824753631</v>
      </c>
      <c r="K2856" t="n">
        <v>0.4173800526659588</v>
      </c>
      <c r="L2856" t="b">
        <v>0</v>
      </c>
      <c r="M2856" t="b">
        <v>0</v>
      </c>
      <c r="N2856" t="inlineStr">
        <is>
          <t>ref</t>
        </is>
      </c>
      <c r="O2856" t="n">
        <v>-55</v>
      </c>
      <c r="P2856" t="n">
        <v>0.009429999999999999</v>
      </c>
      <c r="Q2856" t="n">
        <v>100</v>
      </c>
      <c r="R2856" t="n">
        <v>0.02716</v>
      </c>
      <c r="S2856">
        <f>IMAGE("https://mitra.stanford.edu/kundaje/oak/projects/neuro-variants/variant_position/credible/roussos_2024/variant_figures/roussos_2024.infant.GLU/rs62291437_count_position.png",4,220,900)</f>
        <v/>
      </c>
      <c r="T2856">
        <f>IMAGE("https://mitra.stanford.edu/kundaje/oak/projects/neuro-variants/variant_position/credible/roussos_2024/variant_figures/roussos_2024.infant.GLU/rs62291437_profile_position.png",4,220,900)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0.119405582</v>
      </c>
      <c r="G2857" t="n">
        <v>0.0356955557338585</v>
      </c>
      <c r="H2857" t="n">
        <v>0.0213972428968392</v>
      </c>
      <c r="I2857" t="n">
        <v>0.1578410758135805</v>
      </c>
      <c r="J2857" t="n">
        <v>0.0083522564430432</v>
      </c>
      <c r="K2857" t="n">
        <v>0.7114281298073811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0.01567</v>
      </c>
      <c r="Q2857" t="n">
        <v>75</v>
      </c>
      <c r="R2857" t="n">
        <v>0.0116</v>
      </c>
      <c r="S2857">
        <f>IMAGE("https://mitra.stanford.edu/kundaje/oak/projects/neuro-variants/variant_position/credible/roussos_2024/variant_figures/roussos_2024.infant.GLU/rs11705702_count_position.png",4,220,900)</f>
        <v/>
      </c>
      <c r="T2857">
        <f>IMAGE("https://mitra.stanford.edu/kundaje/oak/projects/neuro-variants/variant_position/credible/roussos_2024/variant_figures/roussos_2024.infant.GLU/rs11705702_profile_position.png",4,220,900)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0.0005672905999999</v>
      </c>
      <c r="G2858" t="n">
        <v>0.8695460814516554</v>
      </c>
      <c r="H2858" t="n">
        <v>0.0366796668439496</v>
      </c>
      <c r="I2858" t="n">
        <v>0.0286818181832903</v>
      </c>
      <c r="J2858" t="n">
        <v>0.0447243105006723</v>
      </c>
      <c r="K2858" t="n">
        <v>0.3650695799050469</v>
      </c>
      <c r="L2858" t="b">
        <v>0</v>
      </c>
      <c r="M2858" t="b">
        <v>0</v>
      </c>
      <c r="N2858" t="inlineStr">
        <is>
          <t>alt</t>
        </is>
      </c>
      <c r="O2858" t="n">
        <v>95</v>
      </c>
      <c r="P2858" t="n">
        <v>0.01367</v>
      </c>
      <c r="Q2858" t="n">
        <v>-85</v>
      </c>
      <c r="R2858" t="n">
        <v>0.1685</v>
      </c>
      <c r="S2858">
        <f>IMAGE("https://mitra.stanford.edu/kundaje/oak/projects/neuro-variants/variant_position/credible/roussos_2024/variant_figures/roussos_2024.infant.GLU/rs71312200_count_position.png",4,220,900)</f>
        <v/>
      </c>
      <c r="T2858">
        <f>IMAGE("https://mitra.stanford.edu/kundaje/oak/projects/neuro-variants/variant_position/credible/roussos_2024/variant_figures/roussos_2024.infant.GLU/rs71312200_profile_position.png",4,220,900)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-0.0359092406</v>
      </c>
      <c r="G2859" t="n">
        <v>0.2677099312311448</v>
      </c>
      <c r="H2859" t="n">
        <v>0.0269544389169233</v>
      </c>
      <c r="I2859" t="n">
        <v>0.0807471664312235</v>
      </c>
      <c r="J2859" t="n">
        <v>0.0204545955598667</v>
      </c>
      <c r="K2859" t="n">
        <v>0.5398123098129778</v>
      </c>
      <c r="L2859" t="b">
        <v>0</v>
      </c>
      <c r="M2859" t="b">
        <v>0</v>
      </c>
      <c r="N2859" t="inlineStr">
        <is>
          <t>ref</t>
        </is>
      </c>
      <c r="O2859" t="n">
        <v>-30</v>
      </c>
      <c r="P2859" t="n">
        <v>0.006668</v>
      </c>
      <c r="Q2859" t="n">
        <v>75</v>
      </c>
      <c r="R2859" t="n">
        <v>0.04578</v>
      </c>
      <c r="S2859">
        <f>IMAGE("https://mitra.stanford.edu/kundaje/oak/projects/neuro-variants/variant_position/credible/roussos_2024/variant_figures/roussos_2024.infant.GLU/rs34293605_count_position.png",4,220,900)</f>
        <v/>
      </c>
      <c r="T2859">
        <f>IMAGE("https://mitra.stanford.edu/kundaje/oak/projects/neuro-variants/variant_position/credible/roussos_2024/variant_figures/roussos_2024.infant.GLU/rs34293605_profile_position.png",4,220,900)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0.0214589561</v>
      </c>
      <c r="G2860" t="n">
        <v>0.3470628624758629</v>
      </c>
      <c r="H2860" t="n">
        <v>0.0109974597025717</v>
      </c>
      <c r="I2860" t="n">
        <v>0.6329230703612004</v>
      </c>
      <c r="J2860" t="n">
        <v>0.0057331510835776</v>
      </c>
      <c r="K2860" t="n">
        <v>0.76662278698297</v>
      </c>
      <c r="L2860" t="b">
        <v>0</v>
      </c>
      <c r="M2860" t="b">
        <v>0</v>
      </c>
      <c r="N2860" t="inlineStr">
        <is>
          <t>alt</t>
        </is>
      </c>
      <c r="O2860" t="n">
        <v>65</v>
      </c>
      <c r="P2860" t="n">
        <v>0.04797</v>
      </c>
      <c r="Q2860" t="n">
        <v>95</v>
      </c>
      <c r="R2860" t="n">
        <v>0.0907</v>
      </c>
      <c r="S2860">
        <f>IMAGE("https://mitra.stanford.edu/kundaje/oak/projects/neuro-variants/variant_position/credible/roussos_2024/variant_figures/roussos_2024.infant.GLU/rs62289571_count_position.png",4,220,900)</f>
        <v/>
      </c>
      <c r="T2860">
        <f>IMAGE("https://mitra.stanford.edu/kundaje/oak/projects/neuro-variants/variant_position/credible/roussos_2024/variant_figures/roussos_2024.infant.GLU/rs62289571_profile_position.png",4,220,900)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-0.0942467619999999</v>
      </c>
      <c r="G2861" t="n">
        <v>0.0671809537494658</v>
      </c>
      <c r="H2861" t="n">
        <v>0.0282677971550048</v>
      </c>
      <c r="I2861" t="n">
        <v>0.080000656467882</v>
      </c>
      <c r="J2861" t="n">
        <v>0.0186203399545844</v>
      </c>
      <c r="K2861" t="n">
        <v>0.5687004820937017</v>
      </c>
      <c r="L2861" t="b">
        <v>0</v>
      </c>
      <c r="M2861" t="b">
        <v>0</v>
      </c>
      <c r="N2861" t="inlineStr">
        <is>
          <t>ref</t>
        </is>
      </c>
      <c r="O2861" t="n">
        <v>20</v>
      </c>
      <c r="P2861" t="n">
        <v>0.02924</v>
      </c>
      <c r="Q2861" t="n">
        <v>40</v>
      </c>
      <c r="R2861" t="n">
        <v>0.07874</v>
      </c>
      <c r="S2861">
        <f>IMAGE("https://mitra.stanford.edu/kundaje/oak/projects/neuro-variants/variant_position/credible/roussos_2024/variant_figures/roussos_2024.infant.GLU/rs13060352_count_position.png",4,220,900)</f>
        <v/>
      </c>
      <c r="T2861">
        <f>IMAGE("https://mitra.stanford.edu/kundaje/oak/projects/neuro-variants/variant_position/credible/roussos_2024/variant_figures/roussos_2024.infant.GLU/rs13060352_profile_position.png",4,220,900)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-0.0269461732</v>
      </c>
      <c r="G2862" t="n">
        <v>0.3660519334211582</v>
      </c>
      <c r="H2862" t="n">
        <v>0.0333362587106593</v>
      </c>
      <c r="I2862" t="n">
        <v>0.0403817332817933</v>
      </c>
      <c r="J2862" t="n">
        <v>0.08481999162239021</v>
      </c>
      <c r="K2862" t="n">
        <v>0.2369722840039897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0.02646</v>
      </c>
      <c r="Q2862" t="n">
        <v>85</v>
      </c>
      <c r="R2862" t="n">
        <v>0.06915</v>
      </c>
      <c r="S2862">
        <f>IMAGE("https://mitra.stanford.edu/kundaje/oak/projects/neuro-variants/variant_position/credible/roussos_2024/variant_figures/roussos_2024.infant.GLU/rs1001416_count_position.png",4,220,900)</f>
        <v/>
      </c>
      <c r="T2862">
        <f>IMAGE("https://mitra.stanford.edu/kundaje/oak/projects/neuro-variants/variant_position/credible/roussos_2024/variant_figures/roussos_2024.infant.GLU/rs1001416_profile_position.png",4,220,900)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-0.02076334208</v>
      </c>
      <c r="G2863" t="n">
        <v>0.4452058880530031</v>
      </c>
      <c r="H2863" t="n">
        <v>0.0092180990710916</v>
      </c>
      <c r="I2863" t="n">
        <v>0.8111298978003769</v>
      </c>
      <c r="J2863" t="n">
        <v>0.037764280517648</v>
      </c>
      <c r="K2863" t="n">
        <v>0.399642402332462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0.03824</v>
      </c>
      <c r="Q2863" t="n">
        <v>75</v>
      </c>
      <c r="R2863" t="n">
        <v>0.0531</v>
      </c>
      <c r="S2863">
        <f>IMAGE("https://mitra.stanford.edu/kundaje/oak/projects/neuro-variants/variant_position/credible/roussos_2024/variant_figures/roussos_2024.infant.GLU/rs6775889_count_position.png",4,220,900)</f>
        <v/>
      </c>
      <c r="T2863">
        <f>IMAGE("https://mitra.stanford.edu/kundaje/oak/projects/neuro-variants/variant_position/credible/roussos_2024/variant_figures/roussos_2024.infant.GLU/rs6775889_profile_position.png",4,220,900)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-0.110060722</v>
      </c>
      <c r="G2864" t="n">
        <v>0.046050302226099</v>
      </c>
      <c r="H2864" t="n">
        <v>0.03735359166648</v>
      </c>
      <c r="I2864" t="n">
        <v>0.0268697994798023</v>
      </c>
      <c r="J2864" t="n">
        <v>0.1140556449657178</v>
      </c>
      <c r="K2864" t="n">
        <v>0.1841258914371888</v>
      </c>
      <c r="L2864" t="b">
        <v>0</v>
      </c>
      <c r="M2864" t="b">
        <v>0</v>
      </c>
      <c r="N2864" t="inlineStr">
        <is>
          <t>ref</t>
        </is>
      </c>
      <c r="O2864" t="n">
        <v>-50</v>
      </c>
      <c r="P2864" t="n">
        <v>0.0003662</v>
      </c>
      <c r="Q2864" t="n">
        <v>-100</v>
      </c>
      <c r="R2864" t="n">
        <v>0.11414</v>
      </c>
      <c r="S2864">
        <f>IMAGE("https://mitra.stanford.edu/kundaje/oak/projects/neuro-variants/variant_position/credible/roussos_2024/variant_figures/roussos_2024.infant.GLU/rs12635178_count_position.png",4,220,900)</f>
        <v/>
      </c>
      <c r="T2864">
        <f>IMAGE("https://mitra.stanford.edu/kundaje/oak/projects/neuro-variants/variant_position/credible/roussos_2024/variant_figures/roussos_2024.infant.GLU/rs12635178_profile_position.png",4,220,900)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0.00232118578</v>
      </c>
      <c r="G2865" t="n">
        <v>0.6492999488738288</v>
      </c>
      <c r="H2865" t="n">
        <v>0.0446728521957528</v>
      </c>
      <c r="I2865" t="n">
        <v>0.0126391286985969</v>
      </c>
      <c r="J2865" t="n">
        <v>0.3512698692651954</v>
      </c>
      <c r="K2865" t="n">
        <v>0.055002933187821</v>
      </c>
      <c r="L2865" t="b">
        <v>1</v>
      </c>
      <c r="M2865" t="b">
        <v>0</v>
      </c>
      <c r="N2865" t="inlineStr">
        <is>
          <t>alt</t>
        </is>
      </c>
      <c r="O2865" t="n">
        <v>-35</v>
      </c>
      <c r="P2865" t="n">
        <v>0.007507</v>
      </c>
      <c r="Q2865" t="n">
        <v>-80</v>
      </c>
      <c r="R2865" t="n">
        <v>0.1316</v>
      </c>
      <c r="S2865">
        <f>IMAGE("https://mitra.stanford.edu/kundaje/oak/projects/neuro-variants/variant_position/credible/roussos_2024/variant_figures/roussos_2024.infant.GLU/rs1968217_count_position.png",4,220,900)</f>
        <v/>
      </c>
      <c r="T2865">
        <f>IMAGE("https://mitra.stanford.edu/kundaje/oak/projects/neuro-variants/variant_position/credible/roussos_2024/variant_figures/roussos_2024.infant.GLU/rs1968217_profile_position.png",4,220,900)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0.0494763388</v>
      </c>
      <c r="G2866" t="n">
        <v>0.1800594768885476</v>
      </c>
      <c r="H2866" t="n">
        <v>0.0240862039331125</v>
      </c>
      <c r="I2866" t="n">
        <v>0.1128313896044067</v>
      </c>
      <c r="J2866" t="n">
        <v>0.0527348486518661</v>
      </c>
      <c r="K2866" t="n">
        <v>0.3507454025442111</v>
      </c>
      <c r="L2866" t="b">
        <v>0</v>
      </c>
      <c r="M2866" t="b">
        <v>0</v>
      </c>
      <c r="N2866" t="inlineStr">
        <is>
          <t>alt</t>
        </is>
      </c>
      <c r="O2866" t="n">
        <v>-20</v>
      </c>
      <c r="P2866" t="n">
        <v>0.005756</v>
      </c>
      <c r="Q2866" t="n">
        <v>70</v>
      </c>
      <c r="R2866" t="n">
        <v>0.08513999999999999</v>
      </c>
      <c r="S2866">
        <f>IMAGE("https://mitra.stanford.edu/kundaje/oak/projects/neuro-variants/variant_position/credible/roussos_2024/variant_figures/roussos_2024.infant.GLU/rs2543163_count_position.png",4,220,900)</f>
        <v/>
      </c>
      <c r="T2866">
        <f>IMAGE("https://mitra.stanford.edu/kundaje/oak/projects/neuro-variants/variant_position/credible/roussos_2024/variant_figures/roussos_2024.infant.GLU/rs2543163_profile_position.png",4,220,900)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-0.08149807420000001</v>
      </c>
      <c r="G2867" t="n">
        <v>0.07579296359730769</v>
      </c>
      <c r="H2867" t="n">
        <v>0.0138059819997493</v>
      </c>
      <c r="I2867" t="n">
        <v>0.4298666038384875</v>
      </c>
      <c r="J2867" t="n">
        <v>0.0675731387376264</v>
      </c>
      <c r="K2867" t="n">
        <v>0.2800479035883362</v>
      </c>
      <c r="L2867" t="b">
        <v>0</v>
      </c>
      <c r="M2867" t="b">
        <v>0</v>
      </c>
      <c r="N2867" t="inlineStr">
        <is>
          <t>ref</t>
        </is>
      </c>
      <c r="O2867" t="n">
        <v>95</v>
      </c>
      <c r="P2867" t="n">
        <v>0.01714</v>
      </c>
      <c r="Q2867" t="n">
        <v>-95</v>
      </c>
      <c r="R2867" t="n">
        <v>0.0569</v>
      </c>
      <c r="S2867">
        <f>IMAGE("https://mitra.stanford.edu/kundaje/oak/projects/neuro-variants/variant_position/credible/roussos_2024/variant_figures/roussos_2024.infant.GLU/rs34718862_count_position.png",4,220,900)</f>
        <v/>
      </c>
      <c r="T2867">
        <f>IMAGE("https://mitra.stanford.edu/kundaje/oak/projects/neuro-variants/variant_position/credible/roussos_2024/variant_figures/roussos_2024.infant.GLU/rs34718862_profile_position.png",4,220,900)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0.042310864</v>
      </c>
      <c r="G2868" t="n">
        <v>0.2144810157919952</v>
      </c>
      <c r="H2868" t="n">
        <v>0.0372256026685915</v>
      </c>
      <c r="I2868" t="n">
        <v>0.0267646715127695</v>
      </c>
      <c r="J2868" t="n">
        <v>0.0037555942591326</v>
      </c>
      <c r="K2868" t="n">
        <v>0.7837940302325204</v>
      </c>
      <c r="L2868" t="b">
        <v>0</v>
      </c>
      <c r="M2868" t="b">
        <v>0</v>
      </c>
      <c r="N2868" t="inlineStr">
        <is>
          <t>alt</t>
        </is>
      </c>
      <c r="O2868" t="n">
        <v>85</v>
      </c>
      <c r="P2868" t="n">
        <v>0.01062</v>
      </c>
      <c r="Q2868" t="n">
        <v>85</v>
      </c>
      <c r="R2868" t="n">
        <v>0.02466</v>
      </c>
      <c r="S2868">
        <f>IMAGE("https://mitra.stanford.edu/kundaje/oak/projects/neuro-variants/variant_position/credible/roussos_2024/variant_figures/roussos_2024.infant.GLU/rs4456860_count_position.png",4,220,900)</f>
        <v/>
      </c>
      <c r="T2868">
        <f>IMAGE("https://mitra.stanford.edu/kundaje/oak/projects/neuro-variants/variant_position/credible/roussos_2024/variant_figures/roussos_2024.infant.GLU/rs4456860_profile_position.png",4,220,900)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-0.030642919</v>
      </c>
      <c r="G2869" t="n">
        <v>0.3209337902917503</v>
      </c>
      <c r="H2869" t="n">
        <v>0.0106598397235073</v>
      </c>
      <c r="I2869" t="n">
        <v>0.670969350889611</v>
      </c>
      <c r="J2869" t="n">
        <v>0.1365803919839502</v>
      </c>
      <c r="K2869" t="n">
        <v>0.1595800235576817</v>
      </c>
      <c r="L2869" t="b">
        <v>0</v>
      </c>
      <c r="M2869" t="b">
        <v>0</v>
      </c>
      <c r="N2869" t="inlineStr">
        <is>
          <t>ref</t>
        </is>
      </c>
      <c r="O2869" t="n">
        <v>100</v>
      </c>
      <c r="P2869" t="n">
        <v>0.005844</v>
      </c>
      <c r="Q2869" t="n">
        <v>100</v>
      </c>
      <c r="R2869" t="n">
        <v>0.1032</v>
      </c>
      <c r="S2869">
        <f>IMAGE("https://mitra.stanford.edu/kundaje/oak/projects/neuro-variants/variant_position/credible/roussos_2024/variant_figures/roussos_2024.infant.GLU/rs13075474_count_position.png",4,220,900)</f>
        <v/>
      </c>
      <c r="T2869">
        <f>IMAGE("https://mitra.stanford.edu/kundaje/oak/projects/neuro-variants/variant_position/credible/roussos_2024/variant_figures/roussos_2024.infant.GLU/rs13075474_profile_position.png",4,220,900)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-0.2105637787999999</v>
      </c>
      <c r="G2870" t="n">
        <v>0.0111116403783433</v>
      </c>
      <c r="H2870" t="n">
        <v>0.0278858197669465</v>
      </c>
      <c r="I2870" t="n">
        <v>0.0779168743949127</v>
      </c>
      <c r="J2870" t="n">
        <v>0.0507418593884344</v>
      </c>
      <c r="K2870" t="n">
        <v>0.3393551587378573</v>
      </c>
      <c r="L2870" t="b">
        <v>1</v>
      </c>
      <c r="M2870" t="b">
        <v>0</v>
      </c>
      <c r="N2870" t="inlineStr">
        <is>
          <t>ref</t>
        </is>
      </c>
      <c r="O2870" t="n">
        <v>10</v>
      </c>
      <c r="P2870" t="n">
        <v>0.00598</v>
      </c>
      <c r="Q2870" t="n">
        <v>-15</v>
      </c>
      <c r="R2870" t="n">
        <v>0.01782</v>
      </c>
      <c r="S2870">
        <f>IMAGE("https://mitra.stanford.edu/kundaje/oak/projects/neuro-variants/variant_position/credible/roussos_2024/variant_figures/roussos_2024.infant.GLU/rs13077643_count_position.png",4,220,900)</f>
        <v/>
      </c>
      <c r="T2870">
        <f>IMAGE("https://mitra.stanford.edu/kundaje/oak/projects/neuro-variants/variant_position/credible/roussos_2024/variant_figures/roussos_2024.infant.GLU/rs13077643_profile_position.png",4,220,900)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-0.0248037072</v>
      </c>
      <c r="G2871" t="n">
        <v>0.3959138107709671</v>
      </c>
      <c r="H2871" t="n">
        <v>0.0394147405083957</v>
      </c>
      <c r="I2871" t="n">
        <v>0.0214398063611961</v>
      </c>
      <c r="J2871" t="n">
        <v>0.0211854317775964</v>
      </c>
      <c r="K2871" t="n">
        <v>0.5226497326500038</v>
      </c>
      <c r="L2871" t="b">
        <v>0</v>
      </c>
      <c r="M2871" t="b">
        <v>0</v>
      </c>
      <c r="N2871" t="inlineStr">
        <is>
          <t>ref</t>
        </is>
      </c>
      <c r="O2871" t="n">
        <v>80</v>
      </c>
      <c r="P2871" t="n">
        <v>0.006042</v>
      </c>
      <c r="Q2871" t="n">
        <v>95</v>
      </c>
      <c r="R2871" t="n">
        <v>0.1667</v>
      </c>
      <c r="S2871">
        <f>IMAGE("https://mitra.stanford.edu/kundaje/oak/projects/neuro-variants/variant_position/credible/roussos_2024/variant_figures/roussos_2024.infant.GLU/rs13071279_count_position.png",4,220,900)</f>
        <v/>
      </c>
      <c r="T2871">
        <f>IMAGE("https://mitra.stanford.edu/kundaje/oak/projects/neuro-variants/variant_position/credible/roussos_2024/variant_figures/roussos_2024.infant.GLU/rs13071279_profile_position.png",4,220,900)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-0.022953202</v>
      </c>
      <c r="G2872" t="n">
        <v>0.4062242226367423</v>
      </c>
      <c r="H2872" t="n">
        <v>0.0363842361128886</v>
      </c>
      <c r="I2872" t="n">
        <v>0.0293245690242124</v>
      </c>
      <c r="J2872" t="n">
        <v>0.0199144601953305</v>
      </c>
      <c r="K2872" t="n">
        <v>0.545217119593859</v>
      </c>
      <c r="L2872" t="b">
        <v>0</v>
      </c>
      <c r="M2872" t="b">
        <v>0</v>
      </c>
      <c r="N2872" t="inlineStr">
        <is>
          <t>ref</t>
        </is>
      </c>
      <c r="O2872" t="n">
        <v>100</v>
      </c>
      <c r="P2872" t="n">
        <v>0.01097</v>
      </c>
      <c r="Q2872" t="n">
        <v>-35</v>
      </c>
      <c r="R2872" t="n">
        <v>0.009639999999999999</v>
      </c>
      <c r="S2872">
        <f>IMAGE("https://mitra.stanford.edu/kundaje/oak/projects/neuro-variants/variant_position/credible/roussos_2024/variant_figures/roussos_2024.infant.GLU/rs13092432_count_position.png",4,220,900)</f>
        <v/>
      </c>
      <c r="T2872">
        <f>IMAGE("https://mitra.stanford.edu/kundaje/oak/projects/neuro-variants/variant_position/credible/roussos_2024/variant_figures/roussos_2024.infant.GLU/rs13092432_profile_position.png",4,220,900)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0.23892524</v>
      </c>
      <c r="G2873" t="n">
        <v>0.0064801878866343</v>
      </c>
      <c r="H2873" t="n">
        <v>0.07412721741656381</v>
      </c>
      <c r="I2873" t="n">
        <v>0.0011021152200464</v>
      </c>
      <c r="J2873" t="n">
        <v>0.0583533587601137</v>
      </c>
      <c r="K2873" t="n">
        <v>0.3107882697851502</v>
      </c>
      <c r="L2873" t="b">
        <v>1</v>
      </c>
      <c r="M2873" t="b">
        <v>1</v>
      </c>
      <c r="N2873" t="inlineStr">
        <is>
          <t>alt</t>
        </is>
      </c>
      <c r="O2873" t="n">
        <v>-70</v>
      </c>
      <c r="P2873" t="n">
        <v>0.003235</v>
      </c>
      <c r="Q2873" t="n">
        <v>75</v>
      </c>
      <c r="R2873" t="n">
        <v>0.1282</v>
      </c>
      <c r="S2873">
        <f>IMAGE("https://mitra.stanford.edu/kundaje/oak/projects/neuro-variants/variant_position/credible/roussos_2024/variant_figures/roussos_2024.infant.GLU/rs12633623_count_position.png",4,220,900)</f>
        <v/>
      </c>
      <c r="T2873">
        <f>IMAGE("https://mitra.stanford.edu/kundaje/oak/projects/neuro-variants/variant_position/credible/roussos_2024/variant_figures/roussos_2024.infant.GLU/rs12633623_profile_position.png",4,220,900)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-0.0343882624</v>
      </c>
      <c r="G2874" t="n">
        <v>0.2765295090768107</v>
      </c>
      <c r="H2874" t="n">
        <v>0.0681546713710466</v>
      </c>
      <c r="I2874" t="n">
        <v>0.0015600056208053</v>
      </c>
      <c r="J2874" t="n">
        <v>0.0281267223704225</v>
      </c>
      <c r="K2874" t="n">
        <v>0.4637474799390932</v>
      </c>
      <c r="L2874" t="b">
        <v>1</v>
      </c>
      <c r="M2874" t="b">
        <v>0</v>
      </c>
      <c r="N2874" t="inlineStr">
        <is>
          <t>ref</t>
        </is>
      </c>
      <c r="O2874" t="n">
        <v>-70</v>
      </c>
      <c r="P2874" t="n">
        <v>0.01306</v>
      </c>
      <c r="Q2874" t="n">
        <v>-100</v>
      </c>
      <c r="R2874" t="n">
        <v>0.08606</v>
      </c>
      <c r="S2874">
        <f>IMAGE("https://mitra.stanford.edu/kundaje/oak/projects/neuro-variants/variant_position/credible/roussos_2024/variant_figures/roussos_2024.infant.GLU/rs74284696_count_position.png",4,220,900)</f>
        <v/>
      </c>
      <c r="T2874">
        <f>IMAGE("https://mitra.stanford.edu/kundaje/oak/projects/neuro-variants/variant_position/credible/roussos_2024/variant_figures/roussos_2024.infant.GLU/rs74284696_profile_position.png",4,220,900)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-0.172547276</v>
      </c>
      <c r="G2875" t="n">
        <v>0.0148811727512002</v>
      </c>
      <c r="H2875" t="n">
        <v>0.0271685116919175</v>
      </c>
      <c r="I2875" t="n">
        <v>0.0790471736760644</v>
      </c>
      <c r="J2875" t="n">
        <v>0.0347009413787781</v>
      </c>
      <c r="K2875" t="n">
        <v>0.4264301137282905</v>
      </c>
      <c r="L2875" t="b">
        <v>1</v>
      </c>
      <c r="M2875" t="b">
        <v>0</v>
      </c>
      <c r="N2875" t="inlineStr">
        <is>
          <t>ref</t>
        </is>
      </c>
      <c r="O2875" t="n">
        <v>-65</v>
      </c>
      <c r="P2875" t="n">
        <v>0.00524</v>
      </c>
      <c r="Q2875" t="n">
        <v>-25</v>
      </c>
      <c r="R2875" t="n">
        <v>0.05444</v>
      </c>
      <c r="S2875">
        <f>IMAGE("https://mitra.stanford.edu/kundaje/oak/projects/neuro-variants/variant_position/credible/roussos_2024/variant_figures/roussos_2024.infant.GLU/rs141717445_count_position.png",4,220,900)</f>
        <v/>
      </c>
      <c r="T2875">
        <f>IMAGE("https://mitra.stanford.edu/kundaje/oak/projects/neuro-variants/variant_position/credible/roussos_2024/variant_figures/roussos_2024.infant.GLU/rs141717445_profile_position.png",4,220,900)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-0.099062466</v>
      </c>
      <c r="G2876" t="n">
        <v>0.0540197805397796</v>
      </c>
      <c r="H2876" t="n">
        <v>0.0156764318649657</v>
      </c>
      <c r="I2876" t="n">
        <v>0.3348318089343158</v>
      </c>
      <c r="J2876" t="n">
        <v>0.026801737251703</v>
      </c>
      <c r="K2876" t="n">
        <v>0.4820158049575825</v>
      </c>
      <c r="L2876" t="b">
        <v>0</v>
      </c>
      <c r="M2876" t="b">
        <v>0</v>
      </c>
      <c r="N2876" t="inlineStr">
        <is>
          <t>ref</t>
        </is>
      </c>
      <c r="O2876" t="n">
        <v>-15</v>
      </c>
      <c r="P2876" t="n">
        <v>0.00657</v>
      </c>
      <c r="Q2876" t="n">
        <v>-100</v>
      </c>
      <c r="R2876" t="n">
        <v>0.1354</v>
      </c>
      <c r="S2876">
        <f>IMAGE("https://mitra.stanford.edu/kundaje/oak/projects/neuro-variants/variant_position/credible/roussos_2024/variant_figures/roussos_2024.infant.GLU/rs13081180_count_position.png",4,220,900)</f>
        <v/>
      </c>
      <c r="T2876">
        <f>IMAGE("https://mitra.stanford.edu/kundaje/oak/projects/neuro-variants/variant_position/credible/roussos_2024/variant_figures/roussos_2024.infant.GLU/rs13081180_profile_position.png",4,220,900)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0.0472659274</v>
      </c>
      <c r="G2877" t="n">
        <v>0.1758268287407248</v>
      </c>
      <c r="H2877" t="n">
        <v>0.0180481038735122</v>
      </c>
      <c r="I2877" t="n">
        <v>0.2366858029045163</v>
      </c>
      <c r="J2877" t="n">
        <v>0.0047322471835798</v>
      </c>
      <c r="K2877" t="n">
        <v>0.807672459329083</v>
      </c>
      <c r="L2877" t="b">
        <v>0</v>
      </c>
      <c r="M2877" t="b">
        <v>0</v>
      </c>
      <c r="N2877" t="inlineStr">
        <is>
          <t>alt</t>
        </is>
      </c>
      <c r="O2877" t="n">
        <v>-100</v>
      </c>
      <c r="P2877" t="n">
        <v>0.00564</v>
      </c>
      <c r="Q2877" t="n">
        <v>-60</v>
      </c>
      <c r="R2877" t="n">
        <v>0.09155000000000001</v>
      </c>
      <c r="S2877">
        <f>IMAGE("https://mitra.stanford.edu/kundaje/oak/projects/neuro-variants/variant_position/credible/roussos_2024/variant_figures/roussos_2024.infant.GLU/rs10937056_count_position.png",4,220,900)</f>
        <v/>
      </c>
      <c r="T2877">
        <f>IMAGE("https://mitra.stanford.edu/kundaje/oak/projects/neuro-variants/variant_position/credible/roussos_2024/variant_figures/roussos_2024.infant.GLU/rs10937056_profile_position.png",4,220,900)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-0.003755183744</v>
      </c>
      <c r="G2878" t="n">
        <v>0.805281511462663</v>
      </c>
      <c r="H2878" t="n">
        <v>0.0148892930129158</v>
      </c>
      <c r="I2878" t="n">
        <v>0.3641011945179963</v>
      </c>
      <c r="J2878" t="n">
        <v>0.0278632685905773</v>
      </c>
      <c r="K2878" t="n">
        <v>0.472696454313305</v>
      </c>
      <c r="L2878" t="b">
        <v>0</v>
      </c>
      <c r="M2878" t="b">
        <v>0</v>
      </c>
      <c r="N2878" t="inlineStr">
        <is>
          <t>ref</t>
        </is>
      </c>
      <c r="O2878" t="n">
        <v>100</v>
      </c>
      <c r="P2878" t="n">
        <v>0.033</v>
      </c>
      <c r="Q2878" t="n">
        <v>-100</v>
      </c>
      <c r="R2878" t="n">
        <v>0.05566</v>
      </c>
      <c r="S2878">
        <f>IMAGE("https://mitra.stanford.edu/kundaje/oak/projects/neuro-variants/variant_position/credible/roussos_2024/variant_figures/roussos_2024.infant.GLU/rs9816542_count_position.png",4,220,900)</f>
        <v/>
      </c>
      <c r="T2878">
        <f>IMAGE("https://mitra.stanford.edu/kundaje/oak/projects/neuro-variants/variant_position/credible/roussos_2024/variant_figures/roussos_2024.infant.GLU/rs9816542_profile_position.png",4,220,900)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0.0363139988</v>
      </c>
      <c r="G2879" t="n">
        <v>0.2544670549133248</v>
      </c>
      <c r="H2879" t="n">
        <v>0.0417126924494901</v>
      </c>
      <c r="I2879" t="n">
        <v>0.0169237641362708</v>
      </c>
      <c r="J2879" t="n">
        <v>0.0203642055600872</v>
      </c>
      <c r="K2879" t="n">
        <v>0.5290038238242728</v>
      </c>
      <c r="L2879" t="b">
        <v>1</v>
      </c>
      <c r="M2879" t="b">
        <v>0</v>
      </c>
      <c r="N2879" t="inlineStr">
        <is>
          <t>alt</t>
        </is>
      </c>
      <c r="O2879" t="n">
        <v>100</v>
      </c>
      <c r="P2879" t="n">
        <v>0.0274</v>
      </c>
      <c r="Q2879" t="n">
        <v>100</v>
      </c>
      <c r="R2879" t="n">
        <v>0.2069</v>
      </c>
      <c r="S2879">
        <f>IMAGE("https://mitra.stanford.edu/kundaje/oak/projects/neuro-variants/variant_position/credible/roussos_2024/variant_figures/roussos_2024.infant.GLU/rs6779538_count_position.png",4,220,900)</f>
        <v/>
      </c>
      <c r="T2879">
        <f>IMAGE("https://mitra.stanford.edu/kundaje/oak/projects/neuro-variants/variant_position/credible/roussos_2024/variant_figures/roussos_2024.infant.GLU/rs6779538_profile_position.png",4,220,900)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0.0138411689</v>
      </c>
      <c r="G2880" t="n">
        <v>0.5390724566516952</v>
      </c>
      <c r="H2880" t="n">
        <v>0.0483447351086874</v>
      </c>
      <c r="I2880" t="n">
        <v>0.008957528783552699</v>
      </c>
      <c r="J2880" t="n">
        <v>0.0458828457417491</v>
      </c>
      <c r="K2880" t="n">
        <v>0.3695666208271012</v>
      </c>
      <c r="L2880" t="b">
        <v>1</v>
      </c>
      <c r="M2880" t="b">
        <v>0</v>
      </c>
      <c r="N2880" t="inlineStr">
        <is>
          <t>alt</t>
        </is>
      </c>
      <c r="O2880" t="n">
        <v>-30</v>
      </c>
      <c r="P2880" t="n">
        <v>0.02905</v>
      </c>
      <c r="Q2880" t="n">
        <v>40</v>
      </c>
      <c r="R2880" t="n">
        <v>0.0493</v>
      </c>
      <c r="S2880">
        <f>IMAGE("https://mitra.stanford.edu/kundaje/oak/projects/neuro-variants/variant_position/credible/roussos_2024/variant_figures/roussos_2024.infant.GLU/rs79339987_count_position.png",4,220,900)</f>
        <v/>
      </c>
      <c r="T2880">
        <f>IMAGE("https://mitra.stanford.edu/kundaje/oak/projects/neuro-variants/variant_position/credible/roussos_2024/variant_figures/roussos_2024.infant.GLU/rs79339987_profile_position.png",4,220,900)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0.0350155944</v>
      </c>
      <c r="G2881" t="n">
        <v>0.2088750394863588</v>
      </c>
      <c r="H2881" t="n">
        <v>0.0181925755861252</v>
      </c>
      <c r="I2881" t="n">
        <v>0.2509458390813792</v>
      </c>
      <c r="J2881" t="n">
        <v>0.4047928746224564</v>
      </c>
      <c r="K2881" t="n">
        <v>0.0442293749843763</v>
      </c>
      <c r="L2881" t="b">
        <v>0</v>
      </c>
      <c r="M2881" t="b">
        <v>0</v>
      </c>
      <c r="N2881" t="inlineStr">
        <is>
          <t>alt</t>
        </is>
      </c>
      <c r="O2881" t="n">
        <v>-100</v>
      </c>
      <c r="P2881" t="n">
        <v>0.02036</v>
      </c>
      <c r="Q2881" t="n">
        <v>-55</v>
      </c>
      <c r="R2881" t="n">
        <v>0.1157</v>
      </c>
      <c r="S2881">
        <f>IMAGE("https://mitra.stanford.edu/kundaje/oak/projects/neuro-variants/variant_position/credible/roussos_2024/variant_figures/roussos_2024.infant.GLU/rs10937057_count_position.png",4,220,900)</f>
        <v/>
      </c>
      <c r="T2881">
        <f>IMAGE("https://mitra.stanford.edu/kundaje/oak/projects/neuro-variants/variant_position/credible/roussos_2024/variant_figures/roussos_2024.infant.GLU/rs10937057_profile_position.png",4,220,900)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0.0691066424</v>
      </c>
      <c r="G2882" t="n">
        <v>0.1019133252300275</v>
      </c>
      <c r="H2882" t="n">
        <v>0.0135445649960526</v>
      </c>
      <c r="I2882" t="n">
        <v>0.4589692033534375</v>
      </c>
      <c r="J2882" t="n">
        <v>0.0021638484093564</v>
      </c>
      <c r="K2882" t="n">
        <v>0.859156343091782</v>
      </c>
      <c r="L2882" t="b">
        <v>0</v>
      </c>
      <c r="M2882" t="b">
        <v>0</v>
      </c>
      <c r="N2882" t="inlineStr">
        <is>
          <t>alt</t>
        </is>
      </c>
      <c r="O2882" t="n">
        <v>85</v>
      </c>
      <c r="P2882" t="n">
        <v>0.00344</v>
      </c>
      <c r="Q2882" t="n">
        <v>-5</v>
      </c>
      <c r="R2882" t="n">
        <v>0.003052</v>
      </c>
      <c r="S2882">
        <f>IMAGE("https://mitra.stanford.edu/kundaje/oak/projects/neuro-variants/variant_position/credible/roussos_2024/variant_figures/roussos_2024.infant.GLU/rs4854918_count_position.png",4,220,900)</f>
        <v/>
      </c>
      <c r="T2882">
        <f>IMAGE("https://mitra.stanford.edu/kundaje/oak/projects/neuro-variants/variant_position/credible/roussos_2024/variant_figures/roussos_2024.infant.GLU/rs4854918_profile_position.png",4,220,900)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0.0492135312999999</v>
      </c>
      <c r="G2883" t="n">
        <v>0.1798344131773189</v>
      </c>
      <c r="H2883" t="n">
        <v>0.0231849452631171</v>
      </c>
      <c r="I2883" t="n">
        <v>0.1250141648617197</v>
      </c>
      <c r="J2883" t="n">
        <v>0.0070305782755351</v>
      </c>
      <c r="K2883" t="n">
        <v>0.7157954068373643</v>
      </c>
      <c r="L2883" t="b">
        <v>0</v>
      </c>
      <c r="M2883" t="b">
        <v>0</v>
      </c>
      <c r="N2883" t="inlineStr">
        <is>
          <t>alt</t>
        </is>
      </c>
      <c r="O2883" t="n">
        <v>100</v>
      </c>
      <c r="P2883" t="n">
        <v>0.05954</v>
      </c>
      <c r="Q2883" t="n">
        <v>-65</v>
      </c>
      <c r="R2883" t="n">
        <v>0.0762</v>
      </c>
      <c r="S2883">
        <f>IMAGE("https://mitra.stanford.edu/kundaje/oak/projects/neuro-variants/variant_position/credible/roussos_2024/variant_figures/roussos_2024.infant.GLU/rs11717567_count_position.png",4,220,900)</f>
        <v/>
      </c>
      <c r="T2883">
        <f>IMAGE("https://mitra.stanford.edu/kundaje/oak/projects/neuro-variants/variant_position/credible/roussos_2024/variant_figures/roussos_2024.infant.GLU/rs11717567_profile_position.png",4,220,900)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0.0551656436</v>
      </c>
      <c r="G2884" t="n">
        <v>0.1415955090253215</v>
      </c>
      <c r="H2884" t="n">
        <v>0.0492344481611039</v>
      </c>
      <c r="I2884" t="n">
        <v>0.0081258767025367</v>
      </c>
      <c r="J2884" t="n">
        <v>0.0569192442514164</v>
      </c>
      <c r="K2884" t="n">
        <v>0.3127700772274501</v>
      </c>
      <c r="L2884" t="b">
        <v>1</v>
      </c>
      <c r="M2884" t="b">
        <v>1</v>
      </c>
      <c r="N2884" t="inlineStr">
        <is>
          <t>alt</t>
        </is>
      </c>
      <c r="O2884" t="n">
        <v>-45</v>
      </c>
      <c r="P2884" t="n">
        <v>0.00145</v>
      </c>
      <c r="Q2884" t="n">
        <v>90</v>
      </c>
      <c r="R2884" t="n">
        <v>0.0929</v>
      </c>
      <c r="S2884">
        <f>IMAGE("https://mitra.stanford.edu/kundaje/oak/projects/neuro-variants/variant_position/credible/roussos_2024/variant_figures/roussos_2024.infant.GLU/rs11708101_count_position.png",4,220,900)</f>
        <v/>
      </c>
      <c r="T2884">
        <f>IMAGE("https://mitra.stanford.edu/kundaje/oak/projects/neuro-variants/variant_position/credible/roussos_2024/variant_figures/roussos_2024.infant.GLU/rs11708101_profile_position.png",4,220,900)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-0.1681442448</v>
      </c>
      <c r="G2885" t="n">
        <v>0.0171305320622258</v>
      </c>
      <c r="H2885" t="n">
        <v>0.0260370644973804</v>
      </c>
      <c r="I2885" t="n">
        <v>0.09295023110660711</v>
      </c>
      <c r="J2885" t="n">
        <v>0.0489660265878876</v>
      </c>
      <c r="K2885" t="n">
        <v>0.3471743109335948</v>
      </c>
      <c r="L2885" t="b">
        <v>1</v>
      </c>
      <c r="M2885" t="b">
        <v>0</v>
      </c>
      <c r="N2885" t="inlineStr">
        <is>
          <t>ref</t>
        </is>
      </c>
      <c r="O2885" t="n">
        <v>-80</v>
      </c>
      <c r="P2885" t="n">
        <v>0.03903</v>
      </c>
      <c r="Q2885" t="n">
        <v>70</v>
      </c>
      <c r="R2885" t="n">
        <v>0.049</v>
      </c>
      <c r="S2885">
        <f>IMAGE("https://mitra.stanford.edu/kundaje/oak/projects/neuro-variants/variant_position/credible/roussos_2024/variant_figures/roussos_2024.infant.GLU/rs55844174_count_position.png",4,220,900)</f>
        <v/>
      </c>
      <c r="T2885">
        <f>IMAGE("https://mitra.stanford.edu/kundaje/oak/projects/neuro-variants/variant_position/credible/roussos_2024/variant_figures/roussos_2024.infant.GLU/rs55844174_profile_position.png",4,220,900)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-0.0198156867399999</v>
      </c>
      <c r="G2886" t="n">
        <v>0.4230111465438273</v>
      </c>
      <c r="H2886" t="n">
        <v>0.0062472509894651</v>
      </c>
      <c r="I2886" t="n">
        <v>0.9788917905989072</v>
      </c>
      <c r="J2886" t="n">
        <v>0.0271456601776934</v>
      </c>
      <c r="K2886" t="n">
        <v>0.4781230361431284</v>
      </c>
      <c r="L2886" t="b">
        <v>0</v>
      </c>
      <c r="M2886" t="b">
        <v>0</v>
      </c>
      <c r="N2886" t="inlineStr">
        <is>
          <t>ref</t>
        </is>
      </c>
      <c r="O2886" t="n">
        <v>100</v>
      </c>
      <c r="P2886" t="n">
        <v>0.0006713999999999999</v>
      </c>
      <c r="Q2886" t="n">
        <v>-95</v>
      </c>
      <c r="R2886" t="n">
        <v>0.2073</v>
      </c>
      <c r="S2886">
        <f>IMAGE("https://mitra.stanford.edu/kundaje/oak/projects/neuro-variants/variant_position/credible/roussos_2024/variant_figures/roussos_2024.infant.GLU/rs16832517_count_position.png",4,220,900)</f>
        <v/>
      </c>
      <c r="T2886">
        <f>IMAGE("https://mitra.stanford.edu/kundaje/oak/projects/neuro-variants/variant_position/credible/roussos_2024/variant_figures/roussos_2024.infant.GLU/rs16832517_profile_position.png",4,220,900)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-0.009309394340000001</v>
      </c>
      <c r="G2887" t="n">
        <v>0.6429055772821123</v>
      </c>
      <c r="H2887" t="n">
        <v>0.0538491779239171</v>
      </c>
      <c r="I2887" t="n">
        <v>0.0053800822579797</v>
      </c>
      <c r="J2887" t="n">
        <v>0.6982539297603563</v>
      </c>
      <c r="K2887" t="n">
        <v>0.0142230442290521</v>
      </c>
      <c r="L2887" t="b">
        <v>1</v>
      </c>
      <c r="M2887" t="b">
        <v>1</v>
      </c>
      <c r="N2887" t="inlineStr">
        <is>
          <t>ref</t>
        </is>
      </c>
      <c r="O2887" t="n">
        <v>-50</v>
      </c>
      <c r="P2887" t="n">
        <v>0.01581</v>
      </c>
      <c r="Q2887" t="n">
        <v>-100</v>
      </c>
      <c r="R2887" t="n">
        <v>0.1531</v>
      </c>
      <c r="S2887">
        <f>IMAGE("https://mitra.stanford.edu/kundaje/oak/projects/neuro-variants/variant_position/credible/roussos_2024/variant_figures/roussos_2024.infant.GLU/rs75907840_count_position.png",4,220,900)</f>
        <v/>
      </c>
      <c r="T2887">
        <f>IMAGE("https://mitra.stanford.edu/kundaje/oak/projects/neuro-variants/variant_position/credible/roussos_2024/variant_figures/roussos_2024.infant.GLU/rs75907840_profile_position.png",4,220,900)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0.01302987914</v>
      </c>
      <c r="G2888" t="n">
        <v>0.552873906524556</v>
      </c>
      <c r="H2888" t="n">
        <v>0.028880970853054</v>
      </c>
      <c r="I2888" t="n">
        <v>0.0653932375164623</v>
      </c>
      <c r="J2888" t="n">
        <v>0.4925483366035406</v>
      </c>
      <c r="K2888" t="n">
        <v>0.0317158465925179</v>
      </c>
      <c r="L2888" t="b">
        <v>0</v>
      </c>
      <c r="M2888" t="b">
        <v>0</v>
      </c>
      <c r="N2888" t="inlineStr">
        <is>
          <t>alt</t>
        </is>
      </c>
      <c r="O2888" t="n">
        <v>80</v>
      </c>
      <c r="P2888" t="n">
        <v>0.0551</v>
      </c>
      <c r="Q2888" t="n">
        <v>-100</v>
      </c>
      <c r="R2888" t="n">
        <v>0.1339</v>
      </c>
      <c r="S2888">
        <f>IMAGE("https://mitra.stanford.edu/kundaje/oak/projects/neuro-variants/variant_position/credible/roussos_2024/variant_figures/roussos_2024.infant.GLU/rs11915160_count_position.png",4,220,900)</f>
        <v/>
      </c>
      <c r="T2888">
        <f>IMAGE("https://mitra.stanford.edu/kundaje/oak/projects/neuro-variants/variant_position/credible/roussos_2024/variant_figures/roussos_2024.infant.GLU/rs11915160_profile_position.png",4,220,900)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0.0444562596</v>
      </c>
      <c r="G2889" t="n">
        <v>0.1926151147513939</v>
      </c>
      <c r="H2889" t="n">
        <v>0.07348133118328951</v>
      </c>
      <c r="I2889" t="n">
        <v>0.0010432191637265</v>
      </c>
      <c r="J2889" t="n">
        <v>0.0005665909742277</v>
      </c>
      <c r="K2889" t="n">
        <v>0.918475294996942</v>
      </c>
      <c r="L2889" t="b">
        <v>0</v>
      </c>
      <c r="M2889" t="b">
        <v>0</v>
      </c>
      <c r="N2889" t="inlineStr">
        <is>
          <t>alt</t>
        </is>
      </c>
      <c r="O2889" t="n">
        <v>0</v>
      </c>
      <c r="P2889" t="n">
        <v>0</v>
      </c>
      <c r="Q2889" t="n">
        <v>95</v>
      </c>
      <c r="R2889" t="n">
        <v>0.07666000000000001</v>
      </c>
      <c r="S2889">
        <f>IMAGE("https://mitra.stanford.edu/kundaje/oak/projects/neuro-variants/variant_position/credible/roussos_2024/variant_figures/roussos_2024.infant.GLU/rs12638738_count_position.png",4,220,900)</f>
        <v/>
      </c>
      <c r="T2889">
        <f>IMAGE("https://mitra.stanford.edu/kundaje/oak/projects/neuro-variants/variant_position/credible/roussos_2024/variant_figures/roussos_2024.infant.GLU/rs12638738_profile_position.png",4,220,900)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0.4653789939999999</v>
      </c>
      <c r="G2890" t="n">
        <v>0.0006338173667007</v>
      </c>
      <c r="H2890" t="n">
        <v>0.0578767829051429</v>
      </c>
      <c r="I2890" t="n">
        <v>0.0038801945675983</v>
      </c>
      <c r="J2890" t="n">
        <v>0.1447915518419718</v>
      </c>
      <c r="K2890" t="n">
        <v>0.1591382506849261</v>
      </c>
      <c r="L2890" t="b">
        <v>1</v>
      </c>
      <c r="M2890" t="b">
        <v>1</v>
      </c>
      <c r="N2890" t="inlineStr">
        <is>
          <t>alt</t>
        </is>
      </c>
      <c r="O2890" t="n">
        <v>-80</v>
      </c>
      <c r="P2890" t="n">
        <v>0.01022</v>
      </c>
      <c r="Q2890" t="n">
        <v>-75</v>
      </c>
      <c r="R2890" t="n">
        <v>0.06884999999999999</v>
      </c>
      <c r="S2890">
        <f>IMAGE("https://mitra.stanford.edu/kundaje/oak/projects/neuro-variants/variant_position/credible/roussos_2024/variant_figures/roussos_2024.infant.GLU/rs57491362_count_position.png",4,220,900)</f>
        <v/>
      </c>
      <c r="T2890">
        <f>IMAGE("https://mitra.stanford.edu/kundaje/oak/projects/neuro-variants/variant_position/credible/roussos_2024/variant_figures/roussos_2024.infant.GLU/rs57491362_profile_position.png",4,220,900)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-0.1195534152</v>
      </c>
      <c r="G2891" t="n">
        <v>0.0348384879768782</v>
      </c>
      <c r="H2891" t="n">
        <v>0.0175471995918654</v>
      </c>
      <c r="I2891" t="n">
        <v>0.2560297070107433</v>
      </c>
      <c r="J2891" t="n">
        <v>0.0396900284397803</v>
      </c>
      <c r="K2891" t="n">
        <v>0.3953152093472062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0.02942</v>
      </c>
      <c r="Q2891" t="n">
        <v>-25</v>
      </c>
      <c r="R2891" t="n">
        <v>0.01257</v>
      </c>
      <c r="S2891">
        <f>IMAGE("https://mitra.stanford.edu/kundaje/oak/projects/neuro-variants/variant_position/credible/roussos_2024/variant_figures/roussos_2024.infant.GLU/rs112543424_count_position.png",4,220,900)</f>
        <v/>
      </c>
      <c r="T2891">
        <f>IMAGE("https://mitra.stanford.edu/kundaje/oak/projects/neuro-variants/variant_position/credible/roussos_2024/variant_figures/roussos_2024.infant.GLU/rs112543424_profile_position.png",4,220,900)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0.365621162</v>
      </c>
      <c r="G2892" t="n">
        <v>0.0014516546083926</v>
      </c>
      <c r="H2892" t="n">
        <v>0.0586415456539753</v>
      </c>
      <c r="I2892" t="n">
        <v>0.0035388272740394</v>
      </c>
      <c r="J2892" t="n">
        <v>0.1156738464251857</v>
      </c>
      <c r="K2892" t="n">
        <v>0.1890713254245765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0.04733</v>
      </c>
      <c r="Q2892" t="n">
        <v>-45</v>
      </c>
      <c r="R2892" t="n">
        <v>0.042</v>
      </c>
      <c r="S2892">
        <f>IMAGE("https://mitra.stanford.edu/kundaje/oak/projects/neuro-variants/variant_position/credible/roussos_2024/variant_figures/roussos_2024.infant.GLU/rs60319910_count_position.png",4,220,900)</f>
        <v/>
      </c>
      <c r="T2892">
        <f>IMAGE("https://mitra.stanford.edu/kundaje/oak/projects/neuro-variants/variant_position/credible/roussos_2024/variant_figures/roussos_2024.infant.GLU/rs60319910_profile_position.png",4,220,900)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-0.0041504172</v>
      </c>
      <c r="G2893" t="n">
        <v>0.5797004106977407</v>
      </c>
      <c r="H2893" t="n">
        <v>0.0103314363709298</v>
      </c>
      <c r="I2893" t="n">
        <v>0.7059129440700771</v>
      </c>
      <c r="J2893" t="n">
        <v>0.1466676954959324</v>
      </c>
      <c r="K2893" t="n">
        <v>0.1519803493181143</v>
      </c>
      <c r="L2893" t="b">
        <v>0</v>
      </c>
      <c r="M2893" t="b">
        <v>0</v>
      </c>
      <c r="N2893" t="inlineStr">
        <is>
          <t>ref</t>
        </is>
      </c>
      <c r="O2893" t="n">
        <v>-100</v>
      </c>
      <c r="P2893" t="n">
        <v>0.01018</v>
      </c>
      <c r="Q2893" t="n">
        <v>30</v>
      </c>
      <c r="R2893" t="n">
        <v>0.0411</v>
      </c>
      <c r="S2893">
        <f>IMAGE("https://mitra.stanford.edu/kundaje/oak/projects/neuro-variants/variant_position/credible/roussos_2024/variant_figures/roussos_2024.infant.GLU/rs115259874_count_position.png",4,220,900)</f>
        <v/>
      </c>
      <c r="T2893">
        <f>IMAGE("https://mitra.stanford.edu/kundaje/oak/projects/neuro-variants/variant_position/credible/roussos_2024/variant_figures/roussos_2024.infant.GLU/rs115259874_profile_position.png",4,220,900)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0.00331982432</v>
      </c>
      <c r="G2894" t="n">
        <v>0.7904410188462547</v>
      </c>
      <c r="H2894" t="n">
        <v>0.0100274209978831</v>
      </c>
      <c r="I2894" t="n">
        <v>0.7390682423134886</v>
      </c>
      <c r="J2894" t="n">
        <v>0.0036960691373266</v>
      </c>
      <c r="K2894" t="n">
        <v>0.8083350979046136</v>
      </c>
      <c r="L2894" t="b">
        <v>0</v>
      </c>
      <c r="M2894" t="b">
        <v>0</v>
      </c>
      <c r="N2894" t="inlineStr">
        <is>
          <t>alt</t>
        </is>
      </c>
      <c r="O2894" t="n">
        <v>90</v>
      </c>
      <c r="P2894" t="n">
        <v>0.010635</v>
      </c>
      <c r="Q2894" t="n">
        <v>-45</v>
      </c>
      <c r="R2894" t="n">
        <v>0.05637</v>
      </c>
      <c r="S2894">
        <f>IMAGE("https://mitra.stanford.edu/kundaje/oak/projects/neuro-variants/variant_position/credible/roussos_2024/variant_figures/roussos_2024.infant.GLU/rs4686478_count_position.png",4,220,900)</f>
        <v/>
      </c>
      <c r="T2894">
        <f>IMAGE("https://mitra.stanford.edu/kundaje/oak/projects/neuro-variants/variant_position/credible/roussos_2024/variant_figures/roussos_2024.infant.GLU/rs4686478_profile_position.png",4,220,900)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0.307738428</v>
      </c>
      <c r="G2895" t="n">
        <v>0.0028089460209213</v>
      </c>
      <c r="H2895" t="n">
        <v>0.0604932685295968</v>
      </c>
      <c r="I2895" t="n">
        <v>0.0029733826382543</v>
      </c>
      <c r="J2895" t="n">
        <v>0.283754051015234</v>
      </c>
      <c r="K2895" t="n">
        <v>0.0745355635690844</v>
      </c>
      <c r="L2895" t="b">
        <v>1</v>
      </c>
      <c r="M2895" t="b">
        <v>1</v>
      </c>
      <c r="N2895" t="inlineStr">
        <is>
          <t>alt</t>
        </is>
      </c>
      <c r="O2895" t="n">
        <v>90</v>
      </c>
      <c r="P2895" t="n">
        <v>0.01678</v>
      </c>
      <c r="Q2895" t="n">
        <v>90</v>
      </c>
      <c r="R2895" t="n">
        <v>0.02539</v>
      </c>
      <c r="S2895">
        <f>IMAGE("https://mitra.stanford.edu/kundaje/oak/projects/neuro-variants/variant_position/credible/roussos_2024/variant_figures/roussos_2024.infant.GLU/rs4572756_count_position.png",4,220,900)</f>
        <v/>
      </c>
      <c r="T2895">
        <f>IMAGE("https://mitra.stanford.edu/kundaje/oak/projects/neuro-variants/variant_position/credible/roussos_2024/variant_figures/roussos_2024.infant.GLU/rs4572756_profile_position.png",4,220,900)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-0.07593421240000001</v>
      </c>
      <c r="G2896" t="n">
        <v>0.08396920654679681</v>
      </c>
      <c r="H2896" t="n">
        <v>0.0273060392277297</v>
      </c>
      <c r="I2896" t="n">
        <v>0.0774306297126013</v>
      </c>
      <c r="J2896" t="n">
        <v>0.4831091955290019</v>
      </c>
      <c r="K2896" t="n">
        <v>0.0326738818655212</v>
      </c>
      <c r="L2896" t="b">
        <v>0</v>
      </c>
      <c r="M2896" t="b">
        <v>0</v>
      </c>
      <c r="N2896" t="inlineStr">
        <is>
          <t>ref</t>
        </is>
      </c>
      <c r="O2896" t="n">
        <v>-45</v>
      </c>
      <c r="P2896" t="n">
        <v>0.007202</v>
      </c>
      <c r="Q2896" t="n">
        <v>-50</v>
      </c>
      <c r="R2896" t="n">
        <v>0.04492</v>
      </c>
      <c r="S2896">
        <f>IMAGE("https://mitra.stanford.edu/kundaje/oak/projects/neuro-variants/variant_position/credible/roussos_2024/variant_figures/roussos_2024.infant.GLU/rs79650876_count_position.png",4,220,900)</f>
        <v/>
      </c>
      <c r="T2896">
        <f>IMAGE("https://mitra.stanford.edu/kundaje/oak/projects/neuro-variants/variant_position/credible/roussos_2024/variant_figures/roussos_2024.infant.GLU/rs79650876_profile_position.png",4,220,900)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-0.01107000531</v>
      </c>
      <c r="G2897" t="n">
        <v>0.6239537586210601</v>
      </c>
      <c r="H2897" t="n">
        <v>0.0151419929521145</v>
      </c>
      <c r="I2897" t="n">
        <v>0.3514815684410698</v>
      </c>
      <c r="J2897" t="n">
        <v>0.2301252232192067</v>
      </c>
      <c r="K2897" t="n">
        <v>0.0945758206579787</v>
      </c>
      <c r="L2897" t="b">
        <v>0</v>
      </c>
      <c r="M2897" t="b">
        <v>0</v>
      </c>
      <c r="N2897" t="inlineStr">
        <is>
          <t>ref</t>
        </is>
      </c>
      <c r="O2897" t="n">
        <v>100</v>
      </c>
      <c r="P2897" t="n">
        <v>0.02917</v>
      </c>
      <c r="Q2897" t="n">
        <v>-75</v>
      </c>
      <c r="R2897" t="n">
        <v>0.04712</v>
      </c>
      <c r="S2897">
        <f>IMAGE("https://mitra.stanford.edu/kundaje/oak/projects/neuro-variants/variant_position/credible/roussos_2024/variant_figures/roussos_2024.infant.GLU/rs1365261_count_position.png",4,220,900)</f>
        <v/>
      </c>
      <c r="T2897">
        <f>IMAGE("https://mitra.stanford.edu/kundaje/oak/projects/neuro-variants/variant_position/credible/roussos_2024/variant_figures/roussos_2024.infant.GLU/rs1365261_profile_position.png",4,220,900)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-0.0353673719999999</v>
      </c>
      <c r="G2898" t="n">
        <v>0.2656653841893326</v>
      </c>
      <c r="H2898" t="n">
        <v>0.0091564744434033</v>
      </c>
      <c r="I2898" t="n">
        <v>0.7971441766091952</v>
      </c>
      <c r="J2898" t="n">
        <v>0.08523446284089151</v>
      </c>
      <c r="K2898" t="n">
        <v>0.2354325601892138</v>
      </c>
      <c r="L2898" t="b">
        <v>0</v>
      </c>
      <c r="M2898" t="b">
        <v>0</v>
      </c>
      <c r="N2898" t="inlineStr">
        <is>
          <t>ref</t>
        </is>
      </c>
      <c r="O2898" t="n">
        <v>70</v>
      </c>
      <c r="P2898" t="n">
        <v>0.005157</v>
      </c>
      <c r="Q2898" t="n">
        <v>10</v>
      </c>
      <c r="R2898" t="n">
        <v>0.01978</v>
      </c>
      <c r="S2898">
        <f>IMAGE("https://mitra.stanford.edu/kundaje/oak/projects/neuro-variants/variant_position/credible/roussos_2024/variant_figures/roussos_2024.infant.GLU/rs1426271_count_position.png",4,220,900)</f>
        <v/>
      </c>
      <c r="T2898">
        <f>IMAGE("https://mitra.stanford.edu/kundaje/oak/projects/neuro-variants/variant_position/credible/roussos_2024/variant_figures/roussos_2024.infant.GLU/rs1426271_profile_position.png",4,220,900)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0.0186995534</v>
      </c>
      <c r="G2899" t="n">
        <v>0.4516303372888418</v>
      </c>
      <c r="H2899" t="n">
        <v>0.0325255509629098</v>
      </c>
      <c r="I2899" t="n">
        <v>0.0439116367728421</v>
      </c>
      <c r="J2899" t="n">
        <v>0.025718159571419</v>
      </c>
      <c r="K2899" t="n">
        <v>0.4830375183387305</v>
      </c>
      <c r="L2899" t="b">
        <v>0</v>
      </c>
      <c r="M2899" t="b">
        <v>0</v>
      </c>
      <c r="N2899" t="inlineStr">
        <is>
          <t>alt</t>
        </is>
      </c>
      <c r="O2899" t="n">
        <v>-95</v>
      </c>
      <c r="P2899" t="n">
        <v>0.0493</v>
      </c>
      <c r="Q2899" t="n">
        <v>-30</v>
      </c>
      <c r="R2899" t="n">
        <v>0.0761</v>
      </c>
      <c r="S2899">
        <f>IMAGE("https://mitra.stanford.edu/kundaje/oak/projects/neuro-variants/variant_position/credible/roussos_2024/variant_figures/roussos_2024.infant.GLU/rs9683218_count_position.png",4,220,900)</f>
        <v/>
      </c>
      <c r="T2899">
        <f>IMAGE("https://mitra.stanford.edu/kundaje/oak/projects/neuro-variants/variant_position/credible/roussos_2024/variant_figures/roussos_2024.infant.GLU/rs9683218_profile_position.png",4,220,900)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-0.0153063158599999</v>
      </c>
      <c r="G2900" t="n">
        <v>0.5550660106871687</v>
      </c>
      <c r="H2900" t="n">
        <v>0.014715929599073</v>
      </c>
      <c r="I2900" t="n">
        <v>0.3765326303264211</v>
      </c>
      <c r="J2900" t="n">
        <v>0.008589254613196901</v>
      </c>
      <c r="K2900" t="n">
        <v>0.6808577677200619</v>
      </c>
      <c r="L2900" t="b">
        <v>0</v>
      </c>
      <c r="M2900" t="b">
        <v>0</v>
      </c>
      <c r="N2900" t="inlineStr">
        <is>
          <t>ref</t>
        </is>
      </c>
      <c r="O2900" t="n">
        <v>5</v>
      </c>
      <c r="P2900" t="n">
        <v>0.001404</v>
      </c>
      <c r="Q2900" t="n">
        <v>100</v>
      </c>
      <c r="R2900" t="n">
        <v>0.01819</v>
      </c>
      <c r="S2900">
        <f>IMAGE("https://mitra.stanford.edu/kundaje/oak/projects/neuro-variants/variant_position/credible/roussos_2024/variant_figures/roussos_2024.infant.GLU/rs35734242_count_position.png",4,220,900)</f>
        <v/>
      </c>
      <c r="T2900">
        <f>IMAGE("https://mitra.stanford.edu/kundaje/oak/projects/neuro-variants/variant_position/credible/roussos_2024/variant_figures/roussos_2024.infant.GLU/rs35734242_profile_position.png",4,220,900)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-0.0122024774</v>
      </c>
      <c r="G2901" t="n">
        <v>0.5998537456425318</v>
      </c>
      <c r="H2901" t="n">
        <v>0.0057656037866041</v>
      </c>
      <c r="I2901" t="n">
        <v>0.991971851914026</v>
      </c>
      <c r="J2901" t="n">
        <v>0.0105888577790515</v>
      </c>
      <c r="K2901" t="n">
        <v>0.6520834495879397</v>
      </c>
      <c r="L2901" t="b">
        <v>0</v>
      </c>
      <c r="M2901" t="b">
        <v>0</v>
      </c>
      <c r="N2901" t="inlineStr">
        <is>
          <t>ref</t>
        </is>
      </c>
      <c r="O2901" t="n">
        <v>100</v>
      </c>
      <c r="P2901" t="n">
        <v>0.04892</v>
      </c>
      <c r="Q2901" t="n">
        <v>-85</v>
      </c>
      <c r="R2901" t="n">
        <v>0.02841</v>
      </c>
      <c r="S2901">
        <f>IMAGE("https://mitra.stanford.edu/kundaje/oak/projects/neuro-variants/variant_position/credible/roussos_2024/variant_figures/roussos_2024.infant.GLU/rs199753793_count_position.png",4,220,900)</f>
        <v/>
      </c>
      <c r="T2901">
        <f>IMAGE("https://mitra.stanford.edu/kundaje/oak/projects/neuro-variants/variant_position/credible/roussos_2024/variant_figures/roussos_2024.infant.GLU/rs199753793_profile_position.png",4,220,900)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-0.1183623408</v>
      </c>
      <c r="G2902" t="n">
        <v>0.0364680777071034</v>
      </c>
      <c r="H2902" t="n">
        <v>0.0650558235911369</v>
      </c>
      <c r="I2902" t="n">
        <v>0.0020497357806027</v>
      </c>
      <c r="J2902" t="n">
        <v>0.0078121210785069</v>
      </c>
      <c r="K2902" t="n">
        <v>0.7080155169163851</v>
      </c>
      <c r="L2902" t="b">
        <v>0</v>
      </c>
      <c r="M2902" t="b">
        <v>0</v>
      </c>
      <c r="N2902" t="inlineStr">
        <is>
          <t>ref</t>
        </is>
      </c>
      <c r="O2902" t="n">
        <v>-70</v>
      </c>
      <c r="P2902" t="n">
        <v>0.00409</v>
      </c>
      <c r="Q2902" t="n">
        <v>40</v>
      </c>
      <c r="R2902" t="n">
        <v>0.05658</v>
      </c>
      <c r="S2902">
        <f>IMAGE("https://mitra.stanford.edu/kundaje/oak/projects/neuro-variants/variant_position/credible/roussos_2024/variant_figures/roussos_2024.infant.GLU/rs73100346_count_position.png",4,220,900)</f>
        <v/>
      </c>
      <c r="T2902">
        <f>IMAGE("https://mitra.stanford.edu/kundaje/oak/projects/neuro-variants/variant_position/credible/roussos_2024/variant_figures/roussos_2024.infant.GLU/rs73100346_profile_position.png",4,220,900)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0.0553163679999999</v>
      </c>
      <c r="G2903" t="n">
        <v>0.1429897951730961</v>
      </c>
      <c r="H2903" t="n">
        <v>0.0321349921380215</v>
      </c>
      <c r="I2903" t="n">
        <v>0.0459569384455068</v>
      </c>
      <c r="J2903" t="n">
        <v>0.3734760466500583</v>
      </c>
      <c r="K2903" t="n">
        <v>0.0498598425862956</v>
      </c>
      <c r="L2903" t="b">
        <v>0</v>
      </c>
      <c r="M2903" t="b">
        <v>0</v>
      </c>
      <c r="N2903" t="inlineStr">
        <is>
          <t>alt</t>
        </is>
      </c>
      <c r="O2903" t="n">
        <v>5</v>
      </c>
      <c r="P2903" t="n">
        <v>0.0002441</v>
      </c>
      <c r="Q2903" t="n">
        <v>-75</v>
      </c>
      <c r="R2903" t="n">
        <v>0.08276</v>
      </c>
      <c r="S2903">
        <f>IMAGE("https://mitra.stanford.edu/kundaje/oak/projects/neuro-variants/variant_position/credible/roussos_2024/variant_figures/roussos_2024.infant.GLU/rs215407_count_position.png",4,220,900)</f>
        <v/>
      </c>
      <c r="T2903">
        <f>IMAGE("https://mitra.stanford.edu/kundaje/oak/projects/neuro-variants/variant_position/credible/roussos_2024/variant_figures/roussos_2024.infant.GLU/rs215407_profile_position.png",4,220,900)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0.0224791425999999</v>
      </c>
      <c r="G2904" t="n">
        <v>0.4038295503625258</v>
      </c>
      <c r="H2904" t="n">
        <v>0.009781767630573901</v>
      </c>
      <c r="I2904" t="n">
        <v>0.7574977912072955</v>
      </c>
      <c r="J2904" t="n">
        <v>0.0963755814722546</v>
      </c>
      <c r="K2904" t="n">
        <v>0.2116809580143972</v>
      </c>
      <c r="L2904" t="b">
        <v>0</v>
      </c>
      <c r="M2904" t="b">
        <v>0</v>
      </c>
      <c r="N2904" t="inlineStr">
        <is>
          <t>alt</t>
        </is>
      </c>
      <c r="O2904" t="n">
        <v>15</v>
      </c>
      <c r="P2904" t="n">
        <v>0.0055</v>
      </c>
      <c r="Q2904" t="n">
        <v>5</v>
      </c>
      <c r="R2904" t="n">
        <v>0.008670000000000001</v>
      </c>
      <c r="S2904">
        <f>IMAGE("https://mitra.stanford.edu/kundaje/oak/projects/neuro-variants/variant_position/credible/roussos_2024/variant_figures/roussos_2024.infant.GLU/rs215405_count_position.png",4,220,900)</f>
        <v/>
      </c>
      <c r="T2904">
        <f>IMAGE("https://mitra.stanford.edu/kundaje/oak/projects/neuro-variants/variant_position/credible/roussos_2024/variant_figures/roussos_2024.infant.GLU/rs215405_profile_position.png",4,220,900)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-0.0319276024</v>
      </c>
      <c r="G2905" t="n">
        <v>0.3086863806211437</v>
      </c>
      <c r="H2905" t="n">
        <v>0.0134968539521845</v>
      </c>
      <c r="I2905" t="n">
        <v>0.4483870266023854</v>
      </c>
      <c r="J2905" t="n">
        <v>0.0304415882184351</v>
      </c>
      <c r="K2905" t="n">
        <v>0.4534519173843765</v>
      </c>
      <c r="L2905" t="b">
        <v>0</v>
      </c>
      <c r="M2905" t="b">
        <v>0</v>
      </c>
      <c r="N2905" t="inlineStr">
        <is>
          <t>ref</t>
        </is>
      </c>
      <c r="O2905" t="n">
        <v>-100</v>
      </c>
      <c r="P2905" t="n">
        <v>0.02765</v>
      </c>
      <c r="Q2905" t="n">
        <v>100</v>
      </c>
      <c r="R2905" t="n">
        <v>0.03027</v>
      </c>
      <c r="S2905">
        <f>IMAGE("https://mitra.stanford.edu/kundaje/oak/projects/neuro-variants/variant_position/credible/roussos_2024/variant_figures/roussos_2024.infant.GLU/rs17541787_count_position.png",4,220,900)</f>
        <v/>
      </c>
      <c r="T2905">
        <f>IMAGE("https://mitra.stanford.edu/kundaje/oak/projects/neuro-variants/variant_position/credible/roussos_2024/variant_figures/roussos_2024.infant.GLU/rs17541787_profile_position.png",4,220,900)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-0.0494470412</v>
      </c>
      <c r="G2906" t="n">
        <v>0.1716120162719768</v>
      </c>
      <c r="H2906" t="n">
        <v>0.06413331655053971</v>
      </c>
      <c r="I2906" t="n">
        <v>0.0022360774607661</v>
      </c>
      <c r="J2906" t="n">
        <v>0.0301439626094049</v>
      </c>
      <c r="K2906" t="n">
        <v>0.4544079867857394</v>
      </c>
      <c r="L2906" t="b">
        <v>1</v>
      </c>
      <c r="M2906" t="b">
        <v>0</v>
      </c>
      <c r="N2906" t="inlineStr">
        <is>
          <t>ref</t>
        </is>
      </c>
      <c r="O2906" t="n">
        <v>60</v>
      </c>
      <c r="P2906" t="n">
        <v>0.010864</v>
      </c>
      <c r="Q2906" t="n">
        <v>65</v>
      </c>
      <c r="R2906" t="n">
        <v>0.026</v>
      </c>
      <c r="S2906">
        <f>IMAGE("https://mitra.stanford.edu/kundaje/oak/projects/neuro-variants/variant_position/credible/roussos_2024/variant_figures/roussos_2024.infant.GLU/rs199797430_count_position.png",4,220,900)</f>
        <v/>
      </c>
      <c r="T2906">
        <f>IMAGE("https://mitra.stanford.edu/kundaje/oak/projects/neuro-variants/variant_position/credible/roussos_2024/variant_figures/roussos_2024.infant.GLU/rs199797430_profile_position.png",4,220,900)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-0.01702066272</v>
      </c>
      <c r="G2907" t="n">
        <v>0.4437869555975085</v>
      </c>
      <c r="H2907" t="n">
        <v>0.0214334047150149</v>
      </c>
      <c r="I2907" t="n">
        <v>0.1531926564306741</v>
      </c>
      <c r="J2907" t="n">
        <v>0.1272184131043453</v>
      </c>
      <c r="K2907" t="n">
        <v>0.1726890983507421</v>
      </c>
      <c r="L2907" t="b">
        <v>0</v>
      </c>
      <c r="M2907" t="b">
        <v>0</v>
      </c>
      <c r="N2907" t="inlineStr">
        <is>
          <t>ref</t>
        </is>
      </c>
      <c r="O2907" t="n">
        <v>-25</v>
      </c>
      <c r="P2907" t="n">
        <v>0.01199</v>
      </c>
      <c r="Q2907" t="n">
        <v>30</v>
      </c>
      <c r="R2907" t="n">
        <v>0.00891</v>
      </c>
      <c r="S2907">
        <f>IMAGE("https://mitra.stanford.edu/kundaje/oak/projects/neuro-variants/variant_position/credible/roussos_2024/variant_figures/roussos_2024.infant.GLU/rs12641122_count_position.png",4,220,900)</f>
        <v/>
      </c>
      <c r="T2907">
        <f>IMAGE("https://mitra.stanford.edu/kundaje/oak/projects/neuro-variants/variant_position/credible/roussos_2024/variant_figures/roussos_2024.infant.GLU/rs12641122_profile_position.png",4,220,900)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-0.0497262296</v>
      </c>
      <c r="G2908" t="n">
        <v>0.1764439802426159</v>
      </c>
      <c r="H2908" t="n">
        <v>0.0141077033282635</v>
      </c>
      <c r="I2908" t="n">
        <v>0.4109523751768686</v>
      </c>
      <c r="J2908" t="n">
        <v>0.036804162349258</v>
      </c>
      <c r="K2908" t="n">
        <v>0.4107952673466409</v>
      </c>
      <c r="L2908" t="b">
        <v>0</v>
      </c>
      <c r="M2908" t="b">
        <v>0</v>
      </c>
      <c r="N2908" t="inlineStr">
        <is>
          <t>ref</t>
        </is>
      </c>
      <c r="O2908" t="n">
        <v>-100</v>
      </c>
      <c r="P2908" t="n">
        <v>0.028</v>
      </c>
      <c r="Q2908" t="n">
        <v>95</v>
      </c>
      <c r="R2908" t="n">
        <v>0.06976</v>
      </c>
      <c r="S2908">
        <f>IMAGE("https://mitra.stanford.edu/kundaje/oak/projects/neuro-variants/variant_position/credible/roussos_2024/variant_figures/roussos_2024.infant.GLU/rs717947_count_position.png",4,220,900)</f>
        <v/>
      </c>
      <c r="T2908">
        <f>IMAGE("https://mitra.stanford.edu/kundaje/oak/projects/neuro-variants/variant_position/credible/roussos_2024/variant_figures/roussos_2024.infant.GLU/rs717947_profile_position.png",4,220,900)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0.0113347455999999</v>
      </c>
      <c r="G2909" t="n">
        <v>0.6047700473907063</v>
      </c>
      <c r="H2909" t="n">
        <v>0.0297142651507001</v>
      </c>
      <c r="I2909" t="n">
        <v>0.0599009918934483</v>
      </c>
      <c r="J2909" t="n">
        <v>0.1002623514627747</v>
      </c>
      <c r="K2909" t="n">
        <v>0.2110494643138444</v>
      </c>
      <c r="L2909" t="b">
        <v>0</v>
      </c>
      <c r="M2909" t="b">
        <v>0</v>
      </c>
      <c r="N2909" t="inlineStr">
        <is>
          <t>alt</t>
        </is>
      </c>
      <c r="O2909" t="n">
        <v>100</v>
      </c>
      <c r="P2909" t="n">
        <v>0.007553</v>
      </c>
      <c r="Q2909" t="n">
        <v>100</v>
      </c>
      <c r="R2909" t="n">
        <v>0.1611</v>
      </c>
      <c r="S2909">
        <f>IMAGE("https://mitra.stanford.edu/kundaje/oak/projects/neuro-variants/variant_position/credible/roussos_2024/variant_figures/roussos_2024.infant.GLU/rs16989137_count_position.png",4,220,900)</f>
        <v/>
      </c>
      <c r="T2909">
        <f>IMAGE("https://mitra.stanford.edu/kundaje/oak/projects/neuro-variants/variant_position/credible/roussos_2024/variant_figures/roussos_2024.infant.GLU/rs16989137_profile_position.png",4,220,900)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-0.0312790022</v>
      </c>
      <c r="G2910" t="n">
        <v>0.3074027294564503</v>
      </c>
      <c r="H2910" t="n">
        <v>0.0597185748403785</v>
      </c>
      <c r="I2910" t="n">
        <v>0.0031932569332111</v>
      </c>
      <c r="J2910" t="n">
        <v>0.0361703300337308</v>
      </c>
      <c r="K2910" t="n">
        <v>0.4290586371352994</v>
      </c>
      <c r="L2910" t="b">
        <v>1</v>
      </c>
      <c r="M2910" t="b">
        <v>0</v>
      </c>
      <c r="N2910" t="inlineStr">
        <is>
          <t>ref</t>
        </is>
      </c>
      <c r="O2910" t="n">
        <v>-100</v>
      </c>
      <c r="P2910" t="n">
        <v>0.06207</v>
      </c>
      <c r="Q2910" t="n">
        <v>-95</v>
      </c>
      <c r="R2910" t="n">
        <v>0.08484</v>
      </c>
      <c r="S2910">
        <f>IMAGE("https://mitra.stanford.edu/kundaje/oak/projects/neuro-variants/variant_position/credible/roussos_2024/variant_figures/roussos_2024.infant.GLU/rs12649881_count_position.png",4,220,900)</f>
        <v/>
      </c>
      <c r="T2910">
        <f>IMAGE("https://mitra.stanford.edu/kundaje/oak/projects/neuro-variants/variant_position/credible/roussos_2024/variant_figures/roussos_2024.infant.GLU/rs12649881_profile_position.png",4,220,900)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-0.0610703278</v>
      </c>
      <c r="G2911" t="n">
        <v>0.1305386449577759</v>
      </c>
      <c r="H2911" t="n">
        <v>0.0111097352233671</v>
      </c>
      <c r="I2911" t="n">
        <v>0.6370841767595423</v>
      </c>
      <c r="J2911" t="n">
        <v>0.0032959280407415</v>
      </c>
      <c r="K2911" t="n">
        <v>0.8097095770025019</v>
      </c>
      <c r="L2911" t="b">
        <v>0</v>
      </c>
      <c r="M2911" t="b">
        <v>0</v>
      </c>
      <c r="N2911" t="inlineStr">
        <is>
          <t>ref</t>
        </is>
      </c>
      <c r="O2911" t="n">
        <v>70</v>
      </c>
      <c r="P2911" t="n">
        <v>0.01318</v>
      </c>
      <c r="Q2911" t="n">
        <v>50</v>
      </c>
      <c r="R2911" t="n">
        <v>0.12213</v>
      </c>
      <c r="S2911">
        <f>IMAGE("https://mitra.stanford.edu/kundaje/oak/projects/neuro-variants/variant_position/credible/roussos_2024/variant_figures/roussos_2024.infant.GLU/rs28430802_count_position.png",4,220,900)</f>
        <v/>
      </c>
      <c r="T2911">
        <f>IMAGE("https://mitra.stanford.edu/kundaje/oak/projects/neuro-variants/variant_position/credible/roussos_2024/variant_figures/roussos_2024.infant.GLU/rs28430802_profile_position.png",4,220,900)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0.02935733728</v>
      </c>
      <c r="G2912" t="n">
        <v>0.3257778973192001</v>
      </c>
      <c r="H2912" t="n">
        <v>0.023209770208697</v>
      </c>
      <c r="I2912" t="n">
        <v>0.1236325910814312</v>
      </c>
      <c r="J2912" t="n">
        <v>0.0211148834850855</v>
      </c>
      <c r="K2912" t="n">
        <v>0.5331868239193194</v>
      </c>
      <c r="L2912" t="b">
        <v>0</v>
      </c>
      <c r="M2912" t="b">
        <v>0</v>
      </c>
      <c r="N2912" t="inlineStr">
        <is>
          <t>alt</t>
        </is>
      </c>
      <c r="O2912" t="n">
        <v>-10</v>
      </c>
      <c r="P2912" t="n">
        <v>0.00873</v>
      </c>
      <c r="Q2912" t="n">
        <v>25</v>
      </c>
      <c r="R2912" t="n">
        <v>0.0471</v>
      </c>
      <c r="S2912">
        <f>IMAGE("https://mitra.stanford.edu/kundaje/oak/projects/neuro-variants/variant_position/credible/roussos_2024/variant_figures/roussos_2024.infant.GLU/rs16989149_count_position.png",4,220,900)</f>
        <v/>
      </c>
      <c r="T2912">
        <f>IMAGE("https://mitra.stanford.edu/kundaje/oak/projects/neuro-variants/variant_position/credible/roussos_2024/variant_figures/roussos_2024.infant.GLU/rs16989149_profile_position.png",4,220,900)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0.0293682392</v>
      </c>
      <c r="G2913" t="n">
        <v>0.3149275125876887</v>
      </c>
      <c r="H2913" t="n">
        <v>0.0451874277093016</v>
      </c>
      <c r="I2913" t="n">
        <v>0.0120683563138848</v>
      </c>
      <c r="J2913" t="n">
        <v>0.0071375030313719</v>
      </c>
      <c r="K2913" t="n">
        <v>0.7093829442392873</v>
      </c>
      <c r="L2913" t="b">
        <v>0</v>
      </c>
      <c r="M2913" t="b">
        <v>0</v>
      </c>
      <c r="N2913" t="inlineStr">
        <is>
          <t>alt</t>
        </is>
      </c>
      <c r="O2913" t="n">
        <v>50</v>
      </c>
      <c r="P2913" t="n">
        <v>0.003235</v>
      </c>
      <c r="Q2913" t="n">
        <v>-65</v>
      </c>
      <c r="R2913" t="n">
        <v>0.0535</v>
      </c>
      <c r="S2913">
        <f>IMAGE("https://mitra.stanford.edu/kundaje/oak/projects/neuro-variants/variant_position/credible/roussos_2024/variant_figures/roussos_2024.infant.GLU/rs28379456_count_position.png",4,220,900)</f>
        <v/>
      </c>
      <c r="T2913">
        <f>IMAGE("https://mitra.stanford.edu/kundaje/oak/projects/neuro-variants/variant_position/credible/roussos_2024/variant_figures/roussos_2024.infant.GLU/rs28379456_profile_position.png",4,220,900)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-0.00431520844</v>
      </c>
      <c r="G2914" t="n">
        <v>0.7589877674585733</v>
      </c>
      <c r="H2914" t="n">
        <v>0.0305358880969675</v>
      </c>
      <c r="I2914" t="n">
        <v>0.054660190057377</v>
      </c>
      <c r="J2914" t="n">
        <v>0.3567968870565929</v>
      </c>
      <c r="K2914" t="n">
        <v>0.0537900380736726</v>
      </c>
      <c r="L2914" t="b">
        <v>0</v>
      </c>
      <c r="M2914" t="b">
        <v>0</v>
      </c>
      <c r="N2914" t="inlineStr">
        <is>
          <t>ref</t>
        </is>
      </c>
      <c r="O2914" t="n">
        <v>100</v>
      </c>
      <c r="P2914" t="n">
        <v>0.04373</v>
      </c>
      <c r="Q2914" t="n">
        <v>100</v>
      </c>
      <c r="R2914" t="n">
        <v>0.5557</v>
      </c>
      <c r="S2914">
        <f>IMAGE("https://mitra.stanford.edu/kundaje/oak/projects/neuro-variants/variant_position/credible/roussos_2024/variant_figures/roussos_2024.infant.GLU/rs35071135_count_position.png",4,220,900)</f>
        <v/>
      </c>
      <c r="T2914">
        <f>IMAGE("https://mitra.stanford.edu/kundaje/oak/projects/neuro-variants/variant_position/credible/roussos_2024/variant_figures/roussos_2024.infant.GLU/rs35071135_profile_position.png",4,220,900)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-0.0200442778</v>
      </c>
      <c r="G2915" t="n">
        <v>0.4389615840404157</v>
      </c>
      <c r="H2915" t="n">
        <v>0.0386194915829415</v>
      </c>
      <c r="I2915" t="n">
        <v>0.0236048347031254</v>
      </c>
      <c r="J2915" t="n">
        <v>0.1119888004585638</v>
      </c>
      <c r="K2915" t="n">
        <v>0.1916277769000118</v>
      </c>
      <c r="L2915" t="b">
        <v>0</v>
      </c>
      <c r="M2915" t="b">
        <v>0</v>
      </c>
      <c r="N2915" t="inlineStr">
        <is>
          <t>ref</t>
        </is>
      </c>
      <c r="O2915" t="n">
        <v>-90</v>
      </c>
      <c r="P2915" t="n">
        <v>0.02849</v>
      </c>
      <c r="Q2915" t="n">
        <v>-100</v>
      </c>
      <c r="R2915" t="n">
        <v>0.1262</v>
      </c>
      <c r="S2915">
        <f>IMAGE("https://mitra.stanford.edu/kundaje/oak/projects/neuro-variants/variant_position/credible/roussos_2024/variant_figures/roussos_2024.infant.GLU/rs1965242_count_position.png",4,220,900)</f>
        <v/>
      </c>
      <c r="T2915">
        <f>IMAGE("https://mitra.stanford.edu/kundaje/oak/projects/neuro-variants/variant_position/credible/roussos_2024/variant_figures/roussos_2024.infant.GLU/rs1965242_profile_position.png",4,220,900)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0.01753116706</v>
      </c>
      <c r="G2916" t="n">
        <v>0.4804911962460448</v>
      </c>
      <c r="H2916" t="n">
        <v>0.0344434958649708</v>
      </c>
      <c r="I2916" t="n">
        <v>0.0361486784923985</v>
      </c>
      <c r="J2916" t="n">
        <v>0.028838819197954</v>
      </c>
      <c r="K2916" t="n">
        <v>0.4655080853949573</v>
      </c>
      <c r="L2916" t="b">
        <v>0</v>
      </c>
      <c r="M2916" t="b">
        <v>0</v>
      </c>
      <c r="N2916" t="inlineStr">
        <is>
          <t>alt</t>
        </is>
      </c>
      <c r="O2916" t="n">
        <v>-100</v>
      </c>
      <c r="P2916" t="n">
        <v>0.01646</v>
      </c>
      <c r="Q2916" t="n">
        <v>-90</v>
      </c>
      <c r="R2916" t="n">
        <v>0.03625</v>
      </c>
      <c r="S2916">
        <f>IMAGE("https://mitra.stanford.edu/kundaje/oak/projects/neuro-variants/variant_position/credible/roussos_2024/variant_figures/roussos_2024.infant.GLU/rs12641809_count_position.png",4,220,900)</f>
        <v/>
      </c>
      <c r="T2916">
        <f>IMAGE("https://mitra.stanford.edu/kundaje/oak/projects/neuro-variants/variant_position/credible/roussos_2024/variant_figures/roussos_2024.infant.GLU/rs12641809_profile_position.png",4,220,900)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-0.0586318486</v>
      </c>
      <c r="G2917" t="n">
        <v>0.1592008933841369</v>
      </c>
      <c r="H2917" t="n">
        <v>0.0171122447486294</v>
      </c>
      <c r="I2917" t="n">
        <v>0.2846670677747699</v>
      </c>
      <c r="J2917" t="n">
        <v>0.0825459115059855</v>
      </c>
      <c r="K2917" t="n">
        <v>0.2389882325314886</v>
      </c>
      <c r="L2917" t="b">
        <v>0</v>
      </c>
      <c r="M2917" t="b">
        <v>0</v>
      </c>
      <c r="N2917" t="inlineStr">
        <is>
          <t>ref</t>
        </is>
      </c>
      <c r="O2917" t="n">
        <v>-75</v>
      </c>
      <c r="P2917" t="n">
        <v>0.015396</v>
      </c>
      <c r="Q2917" t="n">
        <v>25</v>
      </c>
      <c r="R2917" t="n">
        <v>0.04654</v>
      </c>
      <c r="S2917">
        <f>IMAGE("https://mitra.stanford.edu/kundaje/oak/projects/neuro-variants/variant_position/credible/roussos_2024/variant_figures/roussos_2024.infant.GLU/rs67906834_count_position.png",4,220,900)</f>
        <v/>
      </c>
      <c r="T2917">
        <f>IMAGE("https://mitra.stanford.edu/kundaje/oak/projects/neuro-variants/variant_position/credible/roussos_2024/variant_figures/roussos_2024.infant.GLU/rs67906834_profile_position.png",4,220,900)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-0.0320957794599999</v>
      </c>
      <c r="G2918" t="n">
        <v>0.2775718046585375</v>
      </c>
      <c r="H2918" t="n">
        <v>0.0106372593497453</v>
      </c>
      <c r="I2918" t="n">
        <v>0.6581524242827835</v>
      </c>
      <c r="J2918" t="n">
        <v>0.0189113516611917</v>
      </c>
      <c r="K2918" t="n">
        <v>0.5558997241663762</v>
      </c>
      <c r="L2918" t="b">
        <v>0</v>
      </c>
      <c r="M2918" t="b">
        <v>0</v>
      </c>
      <c r="N2918" t="inlineStr">
        <is>
          <t>ref</t>
        </is>
      </c>
      <c r="O2918" t="n">
        <v>-100</v>
      </c>
      <c r="P2918" t="n">
        <v>0.01596</v>
      </c>
      <c r="Q2918" t="n">
        <v>-35</v>
      </c>
      <c r="R2918" t="n">
        <v>0.03748</v>
      </c>
      <c r="S2918">
        <f>IMAGE("https://mitra.stanford.edu/kundaje/oak/projects/neuro-variants/variant_position/credible/roussos_2024/variant_figures/roussos_2024.infant.GLU/rs73127069_count_position.png",4,220,900)</f>
        <v/>
      </c>
      <c r="T2918">
        <f>IMAGE("https://mitra.stanford.edu/kundaje/oak/projects/neuro-variants/variant_position/credible/roussos_2024/variant_figures/roussos_2024.infant.GLU/rs73127069_profile_position.png",4,220,900)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-0.02600378014</v>
      </c>
      <c r="G2919" t="n">
        <v>0.3849551611836533</v>
      </c>
      <c r="H2919" t="n">
        <v>0.0143734568928788</v>
      </c>
      <c r="I2919" t="n">
        <v>0.3932136073935455</v>
      </c>
      <c r="J2919" t="n">
        <v>0.0261050728631583</v>
      </c>
      <c r="K2919" t="n">
        <v>0.480424292476624</v>
      </c>
      <c r="L2919" t="b">
        <v>0</v>
      </c>
      <c r="M2919" t="b">
        <v>0</v>
      </c>
      <c r="N2919" t="inlineStr">
        <is>
          <t>ref</t>
        </is>
      </c>
      <c r="O2919" t="n">
        <v>100</v>
      </c>
      <c r="P2919" t="n">
        <v>0.00873</v>
      </c>
      <c r="Q2919" t="n">
        <v>-90</v>
      </c>
      <c r="R2919" t="n">
        <v>0.06226</v>
      </c>
      <c r="S2919">
        <f>IMAGE("https://mitra.stanford.edu/kundaje/oak/projects/neuro-variants/variant_position/credible/roussos_2024/variant_figures/roussos_2024.infant.GLU/rs67509867_count_position.png",4,220,900)</f>
        <v/>
      </c>
      <c r="T2919">
        <f>IMAGE("https://mitra.stanford.edu/kundaje/oak/projects/neuro-variants/variant_position/credible/roussos_2024/variant_figures/roussos_2024.infant.GLU/rs67509867_profile_position.png",4,220,900)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0.295247452</v>
      </c>
      <c r="G2920" t="n">
        <v>0.0032483203108702</v>
      </c>
      <c r="H2920" t="n">
        <v>0.0427308713814605</v>
      </c>
      <c r="I2920" t="n">
        <v>0.0158933941009118</v>
      </c>
      <c r="J2920" t="n">
        <v>0.0614861438744239</v>
      </c>
      <c r="K2920" t="n">
        <v>0.3097218045467109</v>
      </c>
      <c r="L2920" t="b">
        <v>1</v>
      </c>
      <c r="M2920" t="b">
        <v>1</v>
      </c>
      <c r="N2920" t="inlineStr">
        <is>
          <t>alt</t>
        </is>
      </c>
      <c r="O2920" t="n">
        <v>-90</v>
      </c>
      <c r="P2920" t="n">
        <v>0.02203</v>
      </c>
      <c r="Q2920" t="n">
        <v>5</v>
      </c>
      <c r="R2920" t="n">
        <v>0.006836</v>
      </c>
      <c r="S2920">
        <f>IMAGE("https://mitra.stanford.edu/kundaje/oak/projects/neuro-variants/variant_position/credible/roussos_2024/variant_figures/roussos_2024.infant.GLU/rs10019596_count_position.png",4,220,900)</f>
        <v/>
      </c>
      <c r="T2920">
        <f>IMAGE("https://mitra.stanford.edu/kundaje/oak/projects/neuro-variants/variant_position/credible/roussos_2024/variant_figures/roussos_2024.infant.GLU/rs10019596_profile_position.png",4,220,900)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0.1434029052</v>
      </c>
      <c r="G2921" t="n">
        <v>0.0304957592199776</v>
      </c>
      <c r="H2921" t="n">
        <v>0.0487680688024221</v>
      </c>
      <c r="I2921" t="n">
        <v>0.0104524255591261</v>
      </c>
      <c r="J2921" t="n">
        <v>0.0045525695010912</v>
      </c>
      <c r="K2921" t="n">
        <v>0.790598141552825</v>
      </c>
      <c r="L2921" t="b">
        <v>0</v>
      </c>
      <c r="M2921" t="b">
        <v>0</v>
      </c>
      <c r="N2921" t="inlineStr">
        <is>
          <t>alt</t>
        </is>
      </c>
      <c r="O2921" t="n">
        <v>35</v>
      </c>
      <c r="P2921" t="n">
        <v>0.001938</v>
      </c>
      <c r="Q2921" t="n">
        <v>-15</v>
      </c>
      <c r="R2921" t="n">
        <v>0.03345</v>
      </c>
      <c r="S2921">
        <f>IMAGE("https://mitra.stanford.edu/kundaje/oak/projects/neuro-variants/variant_position/credible/roussos_2024/variant_figures/roussos_2024.infant.GLU/rs13130383_count_position.png",4,220,900)</f>
        <v/>
      </c>
      <c r="T2921">
        <f>IMAGE("https://mitra.stanford.edu/kundaje/oak/projects/neuro-variants/variant_position/credible/roussos_2024/variant_figures/roussos_2024.infant.GLU/rs13130383_profile_position.png",4,220,900)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-0.0185892026</v>
      </c>
      <c r="G2922" t="n">
        <v>0.4658139411683552</v>
      </c>
      <c r="H2922" t="n">
        <v>0.0478762178620219</v>
      </c>
      <c r="I2922" t="n">
        <v>0.0092921743288673</v>
      </c>
      <c r="J2922" t="n">
        <v>0.0176833704446746</v>
      </c>
      <c r="K2922" t="n">
        <v>0.564518001617567</v>
      </c>
      <c r="L2922" t="b">
        <v>1</v>
      </c>
      <c r="M2922" t="b">
        <v>0</v>
      </c>
      <c r="N2922" t="inlineStr">
        <is>
          <t>ref</t>
        </is>
      </c>
      <c r="O2922" t="n">
        <v>65</v>
      </c>
      <c r="P2922" t="n">
        <v>0.2495</v>
      </c>
      <c r="Q2922" t="n">
        <v>100</v>
      </c>
      <c r="R2922" t="n">
        <v>0.2239</v>
      </c>
      <c r="S2922">
        <f>IMAGE("https://mitra.stanford.edu/kundaje/oak/projects/neuro-variants/variant_position/credible/roussos_2024/variant_figures/roussos_2024.infant.GLU/rs34151233_count_position.png",4,220,900)</f>
        <v/>
      </c>
      <c r="T2922">
        <f>IMAGE("https://mitra.stanford.edu/kundaje/oak/projects/neuro-variants/variant_position/credible/roussos_2024/variant_figures/roussos_2024.infant.GLU/rs34151233_profile_position.png",4,220,900)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0.0004930457799999</v>
      </c>
      <c r="G2923" t="n">
        <v>0.7014637596216292</v>
      </c>
      <c r="H2923" t="n">
        <v>0.0286094074242502</v>
      </c>
      <c r="I2923" t="n">
        <v>0.06740317970507601</v>
      </c>
      <c r="J2923" t="n">
        <v>0.0867721951542141</v>
      </c>
      <c r="K2923" t="n">
        <v>0.2359006892585345</v>
      </c>
      <c r="L2923" t="b">
        <v>0</v>
      </c>
      <c r="M2923" t="b">
        <v>0</v>
      </c>
      <c r="N2923" t="inlineStr">
        <is>
          <t>alt</t>
        </is>
      </c>
      <c r="O2923" t="n">
        <v>40</v>
      </c>
      <c r="P2923" t="n">
        <v>0.01743</v>
      </c>
      <c r="Q2923" t="n">
        <v>-100</v>
      </c>
      <c r="R2923" t="n">
        <v>0.09814000000000001</v>
      </c>
      <c r="S2923">
        <f>IMAGE("https://mitra.stanford.edu/kundaje/oak/projects/neuro-variants/variant_position/credible/roussos_2024/variant_figures/roussos_2024.infant.GLU/rs10025016_count_position.png",4,220,900)</f>
        <v/>
      </c>
      <c r="T2923">
        <f>IMAGE("https://mitra.stanford.edu/kundaje/oak/projects/neuro-variants/variant_position/credible/roussos_2024/variant_figures/roussos_2024.infant.GLU/rs10025016_profile_position.png",4,220,900)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-0.057903144</v>
      </c>
      <c r="G2924" t="n">
        <v>0.1340551194291244</v>
      </c>
      <c r="H2924" t="n">
        <v>0.0105880457506786</v>
      </c>
      <c r="I2924" t="n">
        <v>0.6859181866379559</v>
      </c>
      <c r="J2924" t="n">
        <v>0.0143907493551444</v>
      </c>
      <c r="K2924" t="n">
        <v>0.6012978773042169</v>
      </c>
      <c r="L2924" t="b">
        <v>0</v>
      </c>
      <c r="M2924" t="b">
        <v>0</v>
      </c>
      <c r="N2924" t="inlineStr">
        <is>
          <t>ref</t>
        </is>
      </c>
      <c r="O2924" t="n">
        <v>-95</v>
      </c>
      <c r="P2924" t="n">
        <v>0.00507</v>
      </c>
      <c r="Q2924" t="n">
        <v>-65</v>
      </c>
      <c r="R2924" t="n">
        <v>0.06809999999999999</v>
      </c>
      <c r="S2924">
        <f>IMAGE("https://mitra.stanford.edu/kundaje/oak/projects/neuro-variants/variant_position/credible/roussos_2024/variant_figures/roussos_2024.infant.GLU/rs34365744_count_position.png",4,220,900)</f>
        <v/>
      </c>
      <c r="T2924">
        <f>IMAGE("https://mitra.stanford.edu/kundaje/oak/projects/neuro-variants/variant_position/credible/roussos_2024/variant_figures/roussos_2024.infant.GLU/rs34365744_profile_position.png",4,220,900)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0.001880374228</v>
      </c>
      <c r="G2925" t="n">
        <v>0.8645791764580945</v>
      </c>
      <c r="H2925" t="n">
        <v>0.008862986340062599</v>
      </c>
      <c r="I2925" t="n">
        <v>0.8362014767160291</v>
      </c>
      <c r="J2925" t="n">
        <v>0.0248616592076544</v>
      </c>
      <c r="K2925" t="n">
        <v>0.5051057487887721</v>
      </c>
      <c r="L2925" t="b">
        <v>0</v>
      </c>
      <c r="M2925" t="b">
        <v>0</v>
      </c>
      <c r="N2925" t="inlineStr">
        <is>
          <t>alt</t>
        </is>
      </c>
      <c r="O2925" t="n">
        <v>90</v>
      </c>
      <c r="P2925" t="n">
        <v>0.007889999999999999</v>
      </c>
      <c r="Q2925" t="n">
        <v>75</v>
      </c>
      <c r="R2925" t="n">
        <v>0.0956</v>
      </c>
      <c r="S2925">
        <f>IMAGE("https://mitra.stanford.edu/kundaje/oak/projects/neuro-variants/variant_position/credible/roussos_2024/variant_figures/roussos_2024.infant.GLU/rs4475134_count_position.png",4,220,900)</f>
        <v/>
      </c>
      <c r="T2925">
        <f>IMAGE("https://mitra.stanford.edu/kundaje/oak/projects/neuro-variants/variant_position/credible/roussos_2024/variant_figures/roussos_2024.infant.GLU/rs4475134_profile_position.png",4,220,900)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-0.0211940734</v>
      </c>
      <c r="G2926" t="n">
        <v>0.4406086841478839</v>
      </c>
      <c r="H2926" t="n">
        <v>0.0226530078170493</v>
      </c>
      <c r="I2926" t="n">
        <v>0.1325039081339394</v>
      </c>
      <c r="J2926" t="n">
        <v>0.0332932824797724</v>
      </c>
      <c r="K2926" t="n">
        <v>0.4325243265251564</v>
      </c>
      <c r="L2926" t="b">
        <v>0</v>
      </c>
      <c r="M2926" t="b">
        <v>0</v>
      </c>
      <c r="N2926" t="inlineStr">
        <is>
          <t>ref</t>
        </is>
      </c>
      <c r="O2926" t="n">
        <v>-100</v>
      </c>
      <c r="P2926" t="n">
        <v>0.00874</v>
      </c>
      <c r="Q2926" t="n">
        <v>-100</v>
      </c>
      <c r="R2926" t="n">
        <v>0.0912</v>
      </c>
      <c r="S2926">
        <f>IMAGE("https://mitra.stanford.edu/kundaje/oak/projects/neuro-variants/variant_position/credible/roussos_2024/variant_figures/roussos_2024.infant.GLU/rs9992483_count_position.png",4,220,900)</f>
        <v/>
      </c>
      <c r="T2926">
        <f>IMAGE("https://mitra.stanford.edu/kundaje/oak/projects/neuro-variants/variant_position/credible/roussos_2024/variant_figures/roussos_2024.infant.GLU/rs9992483_profile_position.png",4,220,900)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-0.1014080672</v>
      </c>
      <c r="G2927" t="n">
        <v>0.0564385833281731</v>
      </c>
      <c r="H2927" t="n">
        <v>0.0176361366538039</v>
      </c>
      <c r="I2927" t="n">
        <v>0.2569667784944284</v>
      </c>
      <c r="J2927" t="n">
        <v>0.0767444167640379</v>
      </c>
      <c r="K2927" t="n">
        <v>0.2559741514703004</v>
      </c>
      <c r="L2927" t="b">
        <v>0</v>
      </c>
      <c r="M2927" t="b">
        <v>0</v>
      </c>
      <c r="N2927" t="inlineStr">
        <is>
          <t>ref</t>
        </is>
      </c>
      <c r="O2927" t="n">
        <v>100</v>
      </c>
      <c r="P2927" t="n">
        <v>0.008059999999999999</v>
      </c>
      <c r="Q2927" t="n">
        <v>45</v>
      </c>
      <c r="R2927" t="n">
        <v>0.1013</v>
      </c>
      <c r="S2927">
        <f>IMAGE("https://mitra.stanford.edu/kundaje/oak/projects/neuro-variants/variant_position/credible/roussos_2024/variant_figures/roussos_2024.infant.GLU/rs9995588_count_position.png",4,220,900)</f>
        <v/>
      </c>
      <c r="T2927">
        <f>IMAGE("https://mitra.stanford.edu/kundaje/oak/projects/neuro-variants/variant_position/credible/roussos_2024/variant_figures/roussos_2024.infant.GLU/rs9995588_profile_position.png",4,220,900)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-0.03918739834</v>
      </c>
      <c r="G2928" t="n">
        <v>0.2756942446935</v>
      </c>
      <c r="H2928" t="n">
        <v>0.014855718151209</v>
      </c>
      <c r="I2928" t="n">
        <v>0.3678914989116335</v>
      </c>
      <c r="J2928" t="n">
        <v>0.1233702242112921</v>
      </c>
      <c r="K2928" t="n">
        <v>0.187911131109841</v>
      </c>
      <c r="L2928" t="b">
        <v>0</v>
      </c>
      <c r="M2928" t="b">
        <v>0</v>
      </c>
      <c r="N2928" t="inlineStr">
        <is>
          <t>ref</t>
        </is>
      </c>
      <c r="O2928" t="n">
        <v>90</v>
      </c>
      <c r="P2928" t="n">
        <v>0.1821</v>
      </c>
      <c r="Q2928" t="n">
        <v>-90</v>
      </c>
      <c r="R2928" t="n">
        <v>0.11804</v>
      </c>
      <c r="S2928">
        <f>IMAGE("https://mitra.stanford.edu/kundaje/oak/projects/neuro-variants/variant_position/credible/roussos_2024/variant_figures/roussos_2024.infant.GLU/rs1596581_count_position.png",4,220,900)</f>
        <v/>
      </c>
      <c r="T2928">
        <f>IMAGE("https://mitra.stanford.edu/kundaje/oak/projects/neuro-variants/variant_position/credible/roussos_2024/variant_figures/roussos_2024.infant.GLU/rs1596581_profile_position.png",4,220,900)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-0.0636171046</v>
      </c>
      <c r="G2929" t="n">
        <v>0.1232362947579633</v>
      </c>
      <c r="H2929" t="n">
        <v>0.0199685750610683</v>
      </c>
      <c r="I2929" t="n">
        <v>0.1927809999855823</v>
      </c>
      <c r="J2929" t="n">
        <v>0.0005048612182807001</v>
      </c>
      <c r="K2929" t="n">
        <v>0.9313169223492896</v>
      </c>
      <c r="L2929" t="b">
        <v>0</v>
      </c>
      <c r="M2929" t="b">
        <v>0</v>
      </c>
      <c r="N2929" t="inlineStr">
        <is>
          <t>ref</t>
        </is>
      </c>
      <c r="O2929" t="n">
        <v>5</v>
      </c>
      <c r="P2929" t="n">
        <v>0.001526</v>
      </c>
      <c r="Q2929" t="n">
        <v>100</v>
      </c>
      <c r="R2929" t="n">
        <v>0.0863</v>
      </c>
      <c r="S2929">
        <f>IMAGE("https://mitra.stanford.edu/kundaje/oak/projects/neuro-variants/variant_position/credible/roussos_2024/variant_figures/roussos_2024.infant.GLU/rs67655711_count_position.png",4,220,900)</f>
        <v/>
      </c>
      <c r="T2929">
        <f>IMAGE("https://mitra.stanford.edu/kundaje/oak/projects/neuro-variants/variant_position/credible/roussos_2024/variant_figures/roussos_2024.infant.GLU/rs67655711_profile_position.png",4,220,900)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-0.030827918</v>
      </c>
      <c r="G2930" t="n">
        <v>0.3157560240217608</v>
      </c>
      <c r="H2930" t="n">
        <v>0.0249515179087099</v>
      </c>
      <c r="I2930" t="n">
        <v>0.1029743129305604</v>
      </c>
      <c r="J2930" t="n">
        <v>0.0005787164620031</v>
      </c>
      <c r="K2930" t="n">
        <v>0.923431344217899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0.015594</v>
      </c>
      <c r="Q2930" t="n">
        <v>10</v>
      </c>
      <c r="R2930" t="n">
        <v>0.0166</v>
      </c>
      <c r="S2930">
        <f>IMAGE("https://mitra.stanford.edu/kundaje/oak/projects/neuro-variants/variant_position/credible/roussos_2024/variant_figures/roussos_2024.infant.GLU/rs35304177_count_position.png",4,220,900)</f>
        <v/>
      </c>
      <c r="T2930">
        <f>IMAGE("https://mitra.stanford.edu/kundaje/oak/projects/neuro-variants/variant_position/credible/roussos_2024/variant_figures/roussos_2024.infant.GLU/rs35304177_profile_position.png",4,220,900)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-0.01318099734</v>
      </c>
      <c r="G2931" t="n">
        <v>0.5705605346932591</v>
      </c>
      <c r="H2931" t="n">
        <v>0.0353571145884666</v>
      </c>
      <c r="I2931" t="n">
        <v>0.0325974655390896</v>
      </c>
      <c r="J2931" t="n">
        <v>0.008533036442602299</v>
      </c>
      <c r="K2931" t="n">
        <v>0.6949827995513641</v>
      </c>
      <c r="L2931" t="b">
        <v>0</v>
      </c>
      <c r="M2931" t="b">
        <v>0</v>
      </c>
      <c r="N2931" t="inlineStr">
        <is>
          <t>ref</t>
        </is>
      </c>
      <c r="O2931" t="n">
        <v>-85</v>
      </c>
      <c r="P2931" t="n">
        <v>0.02026</v>
      </c>
      <c r="Q2931" t="n">
        <v>-55</v>
      </c>
      <c r="R2931" t="n">
        <v>0.013176</v>
      </c>
      <c r="S2931">
        <f>IMAGE("https://mitra.stanford.edu/kundaje/oak/projects/neuro-variants/variant_position/credible/roussos_2024/variant_figures/roussos_2024.infant.GLU/rs28530710_count_position.png",4,220,900)</f>
        <v/>
      </c>
      <c r="T2931">
        <f>IMAGE("https://mitra.stanford.edu/kundaje/oak/projects/neuro-variants/variant_position/credible/roussos_2024/variant_figures/roussos_2024.infant.GLU/rs28530710_profile_position.png",4,220,900)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-0.00071313632</v>
      </c>
      <c r="G2932" t="n">
        <v>0.7499618583681292</v>
      </c>
      <c r="H2932" t="n">
        <v>0.008789282237827699</v>
      </c>
      <c r="I2932" t="n">
        <v>0.850408071911409</v>
      </c>
      <c r="J2932" t="n">
        <v>0.0024217906038492</v>
      </c>
      <c r="K2932" t="n">
        <v>0.8939904494613928</v>
      </c>
      <c r="L2932" t="b">
        <v>0</v>
      </c>
      <c r="M2932" t="b">
        <v>0</v>
      </c>
      <c r="N2932" t="inlineStr">
        <is>
          <t>ref</t>
        </is>
      </c>
      <c r="O2932" t="n">
        <v>-5</v>
      </c>
      <c r="P2932" t="n">
        <v>0.001389</v>
      </c>
      <c r="Q2932" t="n">
        <v>80</v>
      </c>
      <c r="R2932" t="n">
        <v>0.0512</v>
      </c>
      <c r="S2932">
        <f>IMAGE("https://mitra.stanford.edu/kundaje/oak/projects/neuro-variants/variant_position/credible/roussos_2024/variant_figures/roussos_2024.infant.GLU/rs28801803_count_position.png",4,220,900)</f>
        <v/>
      </c>
      <c r="T2932">
        <f>IMAGE("https://mitra.stanford.edu/kundaje/oak/projects/neuro-variants/variant_position/credible/roussos_2024/variant_figures/roussos_2024.infant.GLU/rs28801803_profile_position.png",4,220,900)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-0.07450443499999999</v>
      </c>
      <c r="G2933" t="n">
        <v>0.0926210733990491</v>
      </c>
      <c r="H2933" t="n">
        <v>0.023443975270595</v>
      </c>
      <c r="I2933" t="n">
        <v>0.122186644953435</v>
      </c>
      <c r="J2933" t="n">
        <v>0.0058533036442602</v>
      </c>
      <c r="K2933" t="n">
        <v>0.7839558303536701</v>
      </c>
      <c r="L2933" t="b">
        <v>0</v>
      </c>
      <c r="M2933" t="b">
        <v>0</v>
      </c>
      <c r="N2933" t="inlineStr">
        <is>
          <t>ref</t>
        </is>
      </c>
      <c r="O2933" t="n">
        <v>20</v>
      </c>
      <c r="P2933" t="n">
        <v>0.001879</v>
      </c>
      <c r="Q2933" t="n">
        <v>100</v>
      </c>
      <c r="R2933" t="n">
        <v>0.0803</v>
      </c>
      <c r="S2933">
        <f>IMAGE("https://mitra.stanford.edu/kundaje/oak/projects/neuro-variants/variant_position/credible/roussos_2024/variant_figures/roussos_2024.infant.GLU/rs28780405_count_position.png",4,220,900)</f>
        <v/>
      </c>
      <c r="T2933">
        <f>IMAGE("https://mitra.stanford.edu/kundaje/oak/projects/neuro-variants/variant_position/credible/roussos_2024/variant_figures/roussos_2024.infant.GLU/rs28780405_profile_position.png",4,220,900)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0.122596758</v>
      </c>
      <c r="G2934" t="n">
        <v>0.0399013909698899</v>
      </c>
      <c r="H2934" t="n">
        <v>0.0186055186013261</v>
      </c>
      <c r="I2934" t="n">
        <v>0.2374333074079805</v>
      </c>
      <c r="J2934" t="n">
        <v>0.0200379197072245</v>
      </c>
      <c r="K2934" t="n">
        <v>0.5674749401846596</v>
      </c>
      <c r="L2934" t="b">
        <v>0</v>
      </c>
      <c r="M2934" t="b">
        <v>0</v>
      </c>
      <c r="N2934" t="inlineStr">
        <is>
          <t>alt</t>
        </is>
      </c>
      <c r="O2934" t="n">
        <v>95</v>
      </c>
      <c r="P2934" t="n">
        <v>0.005867</v>
      </c>
      <c r="Q2934" t="n">
        <v>-10</v>
      </c>
      <c r="R2934" t="n">
        <v>0.009766</v>
      </c>
      <c r="S2934">
        <f>IMAGE("https://mitra.stanford.edu/kundaje/oak/projects/neuro-variants/variant_position/credible/roussos_2024/variant_figures/roussos_2024.infant.GLU/rs61139508_count_position.png",4,220,900)</f>
        <v/>
      </c>
      <c r="T2934">
        <f>IMAGE("https://mitra.stanford.edu/kundaje/oak/projects/neuro-variants/variant_position/credible/roussos_2024/variant_figures/roussos_2024.infant.GLU/rs61139508_profile_position.png",4,220,900)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-0.1368820647999999</v>
      </c>
      <c r="G2935" t="n">
        <v>0.0298345722143</v>
      </c>
      <c r="H2935" t="n">
        <v>0.0213497540175499</v>
      </c>
      <c r="I2935" t="n">
        <v>0.163159675028261</v>
      </c>
      <c r="J2935" t="n">
        <v>0.0131726889922616</v>
      </c>
      <c r="K2935" t="n">
        <v>0.6711218106000428</v>
      </c>
      <c r="L2935" t="b">
        <v>0</v>
      </c>
      <c r="M2935" t="b">
        <v>0</v>
      </c>
      <c r="N2935" t="inlineStr">
        <is>
          <t>ref</t>
        </is>
      </c>
      <c r="O2935" t="n">
        <v>80</v>
      </c>
      <c r="P2935" t="n">
        <v>0.002598</v>
      </c>
      <c r="Q2935" t="n">
        <v>-100</v>
      </c>
      <c r="R2935" t="n">
        <v>0.06165</v>
      </c>
      <c r="S2935">
        <f>IMAGE("https://mitra.stanford.edu/kundaje/oak/projects/neuro-variants/variant_position/credible/roussos_2024/variant_figures/roussos_2024.infant.GLU/rs10017591_count_position.png",4,220,900)</f>
        <v/>
      </c>
      <c r="T2935">
        <f>IMAGE("https://mitra.stanford.edu/kundaje/oak/projects/neuro-variants/variant_position/credible/roussos_2024/variant_figures/roussos_2024.infant.GLU/rs10017591_profile_position.png",4,220,900)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0.034279662</v>
      </c>
      <c r="G2936" t="n">
        <v>0.2643703424366249</v>
      </c>
      <c r="H2936" t="n">
        <v>0.0188823358453315</v>
      </c>
      <c r="I2936" t="n">
        <v>0.2128994497365978</v>
      </c>
      <c r="J2936" t="n">
        <v>0.0054355254745474</v>
      </c>
      <c r="K2936" t="n">
        <v>0.7642170359378101</v>
      </c>
      <c r="L2936" t="b">
        <v>0</v>
      </c>
      <c r="M2936" t="b">
        <v>0</v>
      </c>
      <c r="N2936" t="inlineStr">
        <is>
          <t>alt</t>
        </is>
      </c>
      <c r="O2936" t="n">
        <v>100</v>
      </c>
      <c r="P2936" t="n">
        <v>0.00963</v>
      </c>
      <c r="Q2936" t="n">
        <v>-20</v>
      </c>
      <c r="R2936" t="n">
        <v>0.02466</v>
      </c>
      <c r="S2936">
        <f>IMAGE("https://mitra.stanford.edu/kundaje/oak/projects/neuro-variants/variant_position/credible/roussos_2024/variant_figures/roussos_2024.infant.GLU/rs28764846_count_position.png",4,220,900)</f>
        <v/>
      </c>
      <c r="T2936">
        <f>IMAGE("https://mitra.stanford.edu/kundaje/oak/projects/neuro-variants/variant_position/credible/roussos_2024/variant_figures/roussos_2024.infant.GLU/rs28764846_profile_position.png",4,220,900)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0.0110140808</v>
      </c>
      <c r="G2937" t="n">
        <v>0.5993300084712179</v>
      </c>
      <c r="H2937" t="n">
        <v>0.0371822267058573</v>
      </c>
      <c r="I2937" t="n">
        <v>0.027133357733938</v>
      </c>
      <c r="J2937" t="n">
        <v>0.0649694658171476</v>
      </c>
      <c r="K2937" t="n">
        <v>0.2867663276214011</v>
      </c>
      <c r="L2937" t="b">
        <v>0</v>
      </c>
      <c r="M2937" t="b">
        <v>0</v>
      </c>
      <c r="N2937" t="inlineStr">
        <is>
          <t>alt</t>
        </is>
      </c>
      <c r="O2937" t="n">
        <v>-10</v>
      </c>
      <c r="P2937" t="n">
        <v>0.00708</v>
      </c>
      <c r="Q2937" t="n">
        <v>-100</v>
      </c>
      <c r="R2937" t="n">
        <v>0.1736</v>
      </c>
      <c r="S2937">
        <f>IMAGE("https://mitra.stanford.edu/kundaje/oak/projects/neuro-variants/variant_position/credible/roussos_2024/variant_figures/roussos_2024.infant.GLU/rs9996627_count_position.png",4,220,900)</f>
        <v/>
      </c>
      <c r="T2937">
        <f>IMAGE("https://mitra.stanford.edu/kundaje/oak/projects/neuro-variants/variant_position/credible/roussos_2024/variant_figures/roussos_2024.infant.GLU/rs9996627_profile_position.png",4,220,900)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-0.07566897419999991</v>
      </c>
      <c r="G2938" t="n">
        <v>0.0890202905080356</v>
      </c>
      <c r="H2938" t="n">
        <v>0.0371986392905256</v>
      </c>
      <c r="I2938" t="n">
        <v>0.0271760743750445</v>
      </c>
      <c r="J2938" t="n">
        <v>0.0434312925769968</v>
      </c>
      <c r="K2938" t="n">
        <v>0.3823166248926715</v>
      </c>
      <c r="L2938" t="b">
        <v>0</v>
      </c>
      <c r="M2938" t="b">
        <v>0</v>
      </c>
      <c r="N2938" t="inlineStr">
        <is>
          <t>ref</t>
        </is>
      </c>
      <c r="O2938" t="n">
        <v>85</v>
      </c>
      <c r="P2938" t="n">
        <v>0.00611</v>
      </c>
      <c r="Q2938" t="n">
        <v>100</v>
      </c>
      <c r="R2938" t="n">
        <v>0.05487</v>
      </c>
      <c r="S2938">
        <f>IMAGE("https://mitra.stanford.edu/kundaje/oak/projects/neuro-variants/variant_position/credible/roussos_2024/variant_figures/roussos_2024.infant.GLU/rs7674046_count_position.png",4,220,900)</f>
        <v/>
      </c>
      <c r="T2938">
        <f>IMAGE("https://mitra.stanford.edu/kundaje/oak/projects/neuro-variants/variant_position/credible/roussos_2024/variant_figures/roussos_2024.infant.GLU/rs7674046_profile_position.png",4,220,900)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0.049626858</v>
      </c>
      <c r="G2939" t="n">
        <v>0.1632767811679104</v>
      </c>
      <c r="H2939" t="n">
        <v>0.0090512605361529</v>
      </c>
      <c r="I2939" t="n">
        <v>0.8130254308840759</v>
      </c>
      <c r="J2939" t="n">
        <v>0.1575398487620979</v>
      </c>
      <c r="K2939" t="n">
        <v>0.1540353130621876</v>
      </c>
      <c r="L2939" t="b">
        <v>0</v>
      </c>
      <c r="M2939" t="b">
        <v>0</v>
      </c>
      <c r="N2939" t="inlineStr">
        <is>
          <t>alt</t>
        </is>
      </c>
      <c r="O2939" t="n">
        <v>-90</v>
      </c>
      <c r="P2939" t="n">
        <v>0.02493</v>
      </c>
      <c r="Q2939" t="n">
        <v>-25</v>
      </c>
      <c r="R2939" t="n">
        <v>0.09130000000000001</v>
      </c>
      <c r="S2939">
        <f>IMAGE("https://mitra.stanford.edu/kundaje/oak/projects/neuro-variants/variant_position/credible/roussos_2024/variant_figures/roussos_2024.infant.GLU/rs13113238_count_position.png",4,220,900)</f>
        <v/>
      </c>
      <c r="T2939">
        <f>IMAGE("https://mitra.stanford.edu/kundaje/oak/projects/neuro-variants/variant_position/credible/roussos_2024/variant_figures/roussos_2024.infant.GLU/rs13113238_profile_position.png",4,220,900)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-0.0250989581999999</v>
      </c>
      <c r="G2940" t="n">
        <v>0.3637157297047518</v>
      </c>
      <c r="H2940" t="n">
        <v>0.0147815218727521</v>
      </c>
      <c r="I2940" t="n">
        <v>0.3736391381976226</v>
      </c>
      <c r="J2940" t="n">
        <v>0.0485658854913026</v>
      </c>
      <c r="K2940" t="n">
        <v>0.3562794813928676</v>
      </c>
      <c r="L2940" t="b">
        <v>0</v>
      </c>
      <c r="M2940" t="b">
        <v>0</v>
      </c>
      <c r="N2940" t="inlineStr">
        <is>
          <t>ref</t>
        </is>
      </c>
      <c r="O2940" t="n">
        <v>-35</v>
      </c>
      <c r="P2940" t="n">
        <v>0.003143</v>
      </c>
      <c r="Q2940" t="n">
        <v>0</v>
      </c>
      <c r="R2940" t="n">
        <v>0</v>
      </c>
      <c r="S2940">
        <f>IMAGE("https://mitra.stanford.edu/kundaje/oak/projects/neuro-variants/variant_position/credible/roussos_2024/variant_figures/roussos_2024.infant.GLU/rs7693464_count_position.png",4,220,900)</f>
        <v/>
      </c>
      <c r="T2940">
        <f>IMAGE("https://mitra.stanford.edu/kundaje/oak/projects/neuro-variants/variant_position/credible/roussos_2024/variant_figures/roussos_2024.infant.GLU/rs7693464_profile_position.png",4,220,900)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0.0170022414</v>
      </c>
      <c r="G2941" t="n">
        <v>0.4409172478825469</v>
      </c>
      <c r="H2941" t="n">
        <v>0.0117447590034925</v>
      </c>
      <c r="I2941" t="n">
        <v>0.5805092902083308</v>
      </c>
      <c r="J2941" t="n">
        <v>0.0479022906148724</v>
      </c>
      <c r="K2941" t="n">
        <v>0.351553275493471</v>
      </c>
      <c r="L2941" t="b">
        <v>0</v>
      </c>
      <c r="M2941" t="b">
        <v>0</v>
      </c>
      <c r="N2941" t="inlineStr">
        <is>
          <t>alt</t>
        </is>
      </c>
      <c r="O2941" t="n">
        <v>100</v>
      </c>
      <c r="P2941" t="n">
        <v>0.01129</v>
      </c>
      <c r="Q2941" t="n">
        <v>-60</v>
      </c>
      <c r="R2941" t="n">
        <v>0.0481</v>
      </c>
      <c r="S2941">
        <f>IMAGE("https://mitra.stanford.edu/kundaje/oak/projects/neuro-variants/variant_position/credible/roussos_2024/variant_figures/roussos_2024.infant.GLU/rs1373494_count_position.png",4,220,900)</f>
        <v/>
      </c>
      <c r="T2941">
        <f>IMAGE("https://mitra.stanford.edu/kundaje/oak/projects/neuro-variants/variant_position/credible/roussos_2024/variant_figures/roussos_2024.infant.GLU/rs1373494_profile_position.png",4,220,900)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-0.0180886414</v>
      </c>
      <c r="G2942" t="n">
        <v>0.4540453147447912</v>
      </c>
      <c r="H2942" t="n">
        <v>0.0203070026297448</v>
      </c>
      <c r="I2942" t="n">
        <v>0.1775709847038671</v>
      </c>
      <c r="J2942" t="n">
        <v>0.0024228929209197</v>
      </c>
      <c r="K2942" t="n">
        <v>0.8331188890560431</v>
      </c>
      <c r="L2942" t="b">
        <v>0</v>
      </c>
      <c r="M2942" t="b">
        <v>0</v>
      </c>
      <c r="N2942" t="inlineStr">
        <is>
          <t>ref</t>
        </is>
      </c>
      <c r="O2942" t="n">
        <v>100</v>
      </c>
      <c r="P2942" t="n">
        <v>0.01316</v>
      </c>
      <c r="Q2942" t="n">
        <v>-100</v>
      </c>
      <c r="R2942" t="n">
        <v>0.05252</v>
      </c>
      <c r="S2942">
        <f>IMAGE("https://mitra.stanford.edu/kundaje/oak/projects/neuro-variants/variant_position/credible/roussos_2024/variant_figures/roussos_2024.infant.GLU/rs1822683_count_position.png",4,220,900)</f>
        <v/>
      </c>
      <c r="T2942">
        <f>IMAGE("https://mitra.stanford.edu/kundaje/oak/projects/neuro-variants/variant_position/credible/roussos_2024/variant_figures/roussos_2024.infant.GLU/rs1822683_profile_position.png",4,220,900)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0.229284154</v>
      </c>
      <c r="G2943" t="n">
        <v>0.007940568702474299</v>
      </c>
      <c r="H2943" t="n">
        <v>0.0266180707863706</v>
      </c>
      <c r="I2943" t="n">
        <v>0.0879563437701895</v>
      </c>
      <c r="J2943" t="n">
        <v>0.025071099451046</v>
      </c>
      <c r="K2943" t="n">
        <v>0.5116453707767794</v>
      </c>
      <c r="L2943" t="b">
        <v>1</v>
      </c>
      <c r="M2943" t="b">
        <v>1</v>
      </c>
      <c r="N2943" t="inlineStr">
        <is>
          <t>alt</t>
        </is>
      </c>
      <c r="O2943" t="n">
        <v>-85</v>
      </c>
      <c r="P2943" t="n">
        <v>0.027</v>
      </c>
      <c r="Q2943" t="n">
        <v>-55</v>
      </c>
      <c r="R2943" t="n">
        <v>0.11615</v>
      </c>
      <c r="S2943">
        <f>IMAGE("https://mitra.stanford.edu/kundaje/oak/projects/neuro-variants/variant_position/credible/roussos_2024/variant_figures/roussos_2024.infant.GLU/rs3863828_count_position.png",4,220,900)</f>
        <v/>
      </c>
      <c r="T2943">
        <f>IMAGE("https://mitra.stanford.edu/kundaje/oak/projects/neuro-variants/variant_position/credible/roussos_2024/variant_figures/roussos_2024.infant.GLU/rs3863828_profile_position.png",4,220,900)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0.01601686126</v>
      </c>
      <c r="G2944" t="n">
        <v>0.5170886062954765</v>
      </c>
      <c r="H2944" t="n">
        <v>0.0254323902838717</v>
      </c>
      <c r="I2944" t="n">
        <v>0.0966107440893606</v>
      </c>
      <c r="J2944" t="n">
        <v>0.0010604290218037</v>
      </c>
      <c r="K2944" t="n">
        <v>0.8927823388322261</v>
      </c>
      <c r="L2944" t="b">
        <v>0</v>
      </c>
      <c r="M2944" t="b">
        <v>0</v>
      </c>
      <c r="N2944" t="inlineStr">
        <is>
          <t>alt</t>
        </is>
      </c>
      <c r="O2944" t="n">
        <v>15</v>
      </c>
      <c r="P2944" t="n">
        <v>0.00647</v>
      </c>
      <c r="Q2944" t="n">
        <v>95</v>
      </c>
      <c r="R2944" t="n">
        <v>0.068</v>
      </c>
      <c r="S2944">
        <f>IMAGE("https://mitra.stanford.edu/kundaje/oak/projects/neuro-variants/variant_position/credible/roussos_2024/variant_figures/roussos_2024.infant.GLU/rs28538874_count_position.png",4,220,900)</f>
        <v/>
      </c>
      <c r="T2944">
        <f>IMAGE("https://mitra.stanford.edu/kundaje/oak/projects/neuro-variants/variant_position/credible/roussos_2024/variant_figures/roussos_2024.infant.GLU/rs28538874_profile_position.png",4,220,900)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0.0180015966</v>
      </c>
      <c r="G2945" t="n">
        <v>0.4619315311043064</v>
      </c>
      <c r="H2945" t="n">
        <v>0.0314912903305327</v>
      </c>
      <c r="I2945" t="n">
        <v>0.0494245162336575</v>
      </c>
      <c r="J2945" t="n">
        <v>0.0180967393461054</v>
      </c>
      <c r="K2945" t="n">
        <v>0.5520503728104257</v>
      </c>
      <c r="L2945" t="b">
        <v>0</v>
      </c>
      <c r="M2945" t="b">
        <v>0</v>
      </c>
      <c r="N2945" t="inlineStr">
        <is>
          <t>alt</t>
        </is>
      </c>
      <c r="O2945" t="n">
        <v>-95</v>
      </c>
      <c r="P2945" t="n">
        <v>0.04355</v>
      </c>
      <c r="Q2945" t="n">
        <v>-100</v>
      </c>
      <c r="R2945" t="n">
        <v>0.067</v>
      </c>
      <c r="S2945">
        <f>IMAGE("https://mitra.stanford.edu/kundaje/oak/projects/neuro-variants/variant_position/credible/roussos_2024/variant_figures/roussos_2024.infant.GLU/rs66770627_count_position.png",4,220,900)</f>
        <v/>
      </c>
      <c r="T2945">
        <f>IMAGE("https://mitra.stanford.edu/kundaje/oak/projects/neuro-variants/variant_position/credible/roussos_2024/variant_figures/roussos_2024.infant.GLU/rs66770627_profile_position.png",4,220,900)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-0.037752021</v>
      </c>
      <c r="G2946" t="n">
        <v>0.2584121371755534</v>
      </c>
      <c r="H2946" t="n">
        <v>0.0165443034455705</v>
      </c>
      <c r="I2946" t="n">
        <v>0.2920256320488852</v>
      </c>
      <c r="J2946" t="n">
        <v>0.0063713926673868</v>
      </c>
      <c r="K2946" t="n">
        <v>0.7263482254244857</v>
      </c>
      <c r="L2946" t="b">
        <v>0</v>
      </c>
      <c r="M2946" t="b">
        <v>0</v>
      </c>
      <c r="N2946" t="inlineStr">
        <is>
          <t>ref</t>
        </is>
      </c>
      <c r="O2946" t="n">
        <v>0</v>
      </c>
      <c r="P2946" t="n">
        <v>0</v>
      </c>
      <c r="Q2946" t="n">
        <v>0</v>
      </c>
      <c r="R2946" t="n">
        <v>0</v>
      </c>
      <c r="S2946">
        <f>IMAGE("https://mitra.stanford.edu/kundaje/oak/projects/neuro-variants/variant_position/credible/roussos_2024/variant_figures/roussos_2024.infant.GLU/rs6832462_count_position.png",4,220,900)</f>
        <v/>
      </c>
      <c r="T2946">
        <f>IMAGE("https://mitra.stanford.edu/kundaje/oak/projects/neuro-variants/variant_position/credible/roussos_2024/variant_figures/roussos_2024.infant.GLU/rs6832462_profile_position.png",4,220,900)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-0.0255940006</v>
      </c>
      <c r="G2947" t="n">
        <v>0.3711586956903968</v>
      </c>
      <c r="H2947" t="n">
        <v>0.0495769281898459</v>
      </c>
      <c r="I2947" t="n">
        <v>0.0081850930888803</v>
      </c>
      <c r="J2947" t="n">
        <v>0.0023887210917347</v>
      </c>
      <c r="K2947" t="n">
        <v>0.8421153695669173</v>
      </c>
      <c r="L2947" t="b">
        <v>0</v>
      </c>
      <c r="M2947" t="b">
        <v>0</v>
      </c>
      <c r="N2947" t="inlineStr">
        <is>
          <t>ref</t>
        </is>
      </c>
      <c r="O2947" t="n">
        <v>35</v>
      </c>
      <c r="P2947" t="n">
        <v>0.00653</v>
      </c>
      <c r="Q2947" t="n">
        <v>-75</v>
      </c>
      <c r="R2947" t="n">
        <v>0.01634</v>
      </c>
      <c r="S2947">
        <f>IMAGE("https://mitra.stanford.edu/kundaje/oak/projects/neuro-variants/variant_position/credible/roussos_2024/variant_figures/roussos_2024.infant.GLU/rs59554896_count_position.png",4,220,900)</f>
        <v/>
      </c>
      <c r="T2947">
        <f>IMAGE("https://mitra.stanford.edu/kundaje/oak/projects/neuro-variants/variant_position/credible/roussos_2024/variant_figures/roussos_2024.infant.GLU/rs59554896_profile_position.png",4,220,900)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0.0265873168</v>
      </c>
      <c r="G2948" t="n">
        <v>0.296692914614158</v>
      </c>
      <c r="H2948" t="n">
        <v>0.025468001244497</v>
      </c>
      <c r="I2948" t="n">
        <v>0.0955420999629442</v>
      </c>
      <c r="J2948" t="n">
        <v>0.0270222006657994</v>
      </c>
      <c r="K2948" t="n">
        <v>0.4751147663670358</v>
      </c>
      <c r="L2948" t="b">
        <v>0</v>
      </c>
      <c r="M2948" t="b">
        <v>0</v>
      </c>
      <c r="N2948" t="inlineStr">
        <is>
          <t>alt</t>
        </is>
      </c>
      <c r="O2948" t="n">
        <v>75</v>
      </c>
      <c r="P2948" t="n">
        <v>0.003174</v>
      </c>
      <c r="Q2948" t="n">
        <v>100</v>
      </c>
      <c r="R2948" t="n">
        <v>0.1289</v>
      </c>
      <c r="S2948">
        <f>IMAGE("https://mitra.stanford.edu/kundaje/oak/projects/neuro-variants/variant_position/credible/roussos_2024/variant_figures/roussos_2024.infant.GLU/rs67910708_count_position.png",4,220,900)</f>
        <v/>
      </c>
      <c r="T2948">
        <f>IMAGE("https://mitra.stanford.edu/kundaje/oak/projects/neuro-variants/variant_position/credible/roussos_2024/variant_figures/roussos_2024.infant.GLU/rs67910708_profile_position.png",4,220,900)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0.0085750312</v>
      </c>
      <c r="G2949" t="n">
        <v>0.2769621939001695</v>
      </c>
      <c r="H2949" t="n">
        <v>0.0168554839983235</v>
      </c>
      <c r="I2949" t="n">
        <v>0.285045739257502</v>
      </c>
      <c r="J2949" t="n">
        <v>0.0377135739324058</v>
      </c>
      <c r="K2949" t="n">
        <v>0.4016611456631656</v>
      </c>
      <c r="L2949" t="b">
        <v>0</v>
      </c>
      <c r="M2949" t="b">
        <v>0</v>
      </c>
      <c r="N2949" t="inlineStr">
        <is>
          <t>alt</t>
        </is>
      </c>
      <c r="O2949" t="n">
        <v>0</v>
      </c>
      <c r="P2949" t="n">
        <v>0</v>
      </c>
      <c r="Q2949" t="n">
        <v>-75</v>
      </c>
      <c r="R2949" t="n">
        <v>0.02115</v>
      </c>
      <c r="S2949">
        <f>IMAGE("https://mitra.stanford.edu/kundaje/oak/projects/neuro-variants/variant_position/credible/roussos_2024/variant_figures/roussos_2024.infant.GLU/rs58656292_count_position.png",4,220,900)</f>
        <v/>
      </c>
      <c r="T2949">
        <f>IMAGE("https://mitra.stanford.edu/kundaje/oak/projects/neuro-variants/variant_position/credible/roussos_2024/variant_figures/roussos_2024.infant.GLU/rs58656292_profile_position.png",4,220,900)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-0.0428333486</v>
      </c>
      <c r="G2950" t="n">
        <v>0.2100925673522038</v>
      </c>
      <c r="H2950" t="n">
        <v>0.0185842582963652</v>
      </c>
      <c r="I2950" t="n">
        <v>0.2231000218902816</v>
      </c>
      <c r="J2950" t="n">
        <v>0.0556548865715734</v>
      </c>
      <c r="K2950" t="n">
        <v>0.3197425953723368</v>
      </c>
      <c r="L2950" t="b">
        <v>0</v>
      </c>
      <c r="M2950" t="b">
        <v>0</v>
      </c>
      <c r="N2950" t="inlineStr">
        <is>
          <t>ref</t>
        </is>
      </c>
      <c r="O2950" t="n">
        <v>100</v>
      </c>
      <c r="P2950" t="n">
        <v>0.01648</v>
      </c>
      <c r="Q2950" t="n">
        <v>-20</v>
      </c>
      <c r="R2950" t="n">
        <v>0.03992</v>
      </c>
      <c r="S2950">
        <f>IMAGE("https://mitra.stanford.edu/kundaje/oak/projects/neuro-variants/variant_position/credible/roussos_2024/variant_figures/roussos_2024.infant.GLU/rs13104973_count_position.png",4,220,900)</f>
        <v/>
      </c>
      <c r="T2950">
        <f>IMAGE("https://mitra.stanford.edu/kundaje/oak/projects/neuro-variants/variant_position/credible/roussos_2024/variant_figures/roussos_2024.infant.GLU/rs13104973_profile_position.png",4,220,900)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-0.0029154763999999</v>
      </c>
      <c r="G2951" t="n">
        <v>0.6221709922531633</v>
      </c>
      <c r="H2951" t="n">
        <v>0.0141074893328431</v>
      </c>
      <c r="I2951" t="n">
        <v>0.4122826017201588</v>
      </c>
      <c r="J2951" t="n">
        <v>0.0815229612645781</v>
      </c>
      <c r="K2951" t="n">
        <v>0.245584226529555</v>
      </c>
      <c r="L2951" t="b">
        <v>0</v>
      </c>
      <c r="M2951" t="b">
        <v>0</v>
      </c>
      <c r="N2951" t="inlineStr">
        <is>
          <t>ref</t>
        </is>
      </c>
      <c r="O2951" t="n">
        <v>-55</v>
      </c>
      <c r="P2951" t="n">
        <v>0.00814</v>
      </c>
      <c r="Q2951" t="n">
        <v>100</v>
      </c>
      <c r="R2951" t="n">
        <v>0.1381</v>
      </c>
      <c r="S2951">
        <f>IMAGE("https://mitra.stanford.edu/kundaje/oak/projects/neuro-variants/variant_position/credible/roussos_2024/variant_figures/roussos_2024.infant.GLU/rs3910837_count_position.png",4,220,900)</f>
        <v/>
      </c>
      <c r="T2951">
        <f>IMAGE("https://mitra.stanford.edu/kundaje/oak/projects/neuro-variants/variant_position/credible/roussos_2024/variant_figures/roussos_2024.infant.GLU/rs3910837_profile_position.png",4,220,900)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0.01171034332</v>
      </c>
      <c r="G2952" t="n">
        <v>0.272545837911053</v>
      </c>
      <c r="H2952" t="n">
        <v>0.0445092568732356</v>
      </c>
      <c r="I2952" t="n">
        <v>0.0133804747036925</v>
      </c>
      <c r="J2952" t="n">
        <v>0.0014638770696002</v>
      </c>
      <c r="K2952" t="n">
        <v>0.8994209917629841</v>
      </c>
      <c r="L2952" t="b">
        <v>0</v>
      </c>
      <c r="M2952" t="b">
        <v>0</v>
      </c>
      <c r="N2952" t="inlineStr">
        <is>
          <t>alt</t>
        </is>
      </c>
      <c r="O2952" t="n">
        <v>95</v>
      </c>
      <c r="P2952" t="n">
        <v>0.01602</v>
      </c>
      <c r="Q2952" t="n">
        <v>-55</v>
      </c>
      <c r="R2952" t="n">
        <v>0.0636</v>
      </c>
      <c r="S2952">
        <f>IMAGE("https://mitra.stanford.edu/kundaje/oak/projects/neuro-variants/variant_position/credible/roussos_2024/variant_figures/roussos_2024.infant.GLU/rs7689692_count_position.png",4,220,900)</f>
        <v/>
      </c>
      <c r="T2952">
        <f>IMAGE("https://mitra.stanford.edu/kundaje/oak/projects/neuro-variants/variant_position/credible/roussos_2024/variant_figures/roussos_2024.infant.GLU/rs7689692_profile_position.png",4,220,900)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0.0298576302</v>
      </c>
      <c r="G2953" t="n">
        <v>0.3149580809368862</v>
      </c>
      <c r="H2953" t="n">
        <v>0.0080982376590616</v>
      </c>
      <c r="I2953" t="n">
        <v>0.8940927411031551</v>
      </c>
      <c r="J2953" t="n">
        <v>0.527208492250711</v>
      </c>
      <c r="K2953" t="n">
        <v>0.0281195093267075</v>
      </c>
      <c r="L2953" t="b">
        <v>0</v>
      </c>
      <c r="M2953" t="b">
        <v>0</v>
      </c>
      <c r="N2953" t="inlineStr">
        <is>
          <t>alt</t>
        </is>
      </c>
      <c r="O2953" t="n">
        <v>-100</v>
      </c>
      <c r="P2953" t="n">
        <v>0.1014</v>
      </c>
      <c r="Q2953" t="n">
        <v>-100</v>
      </c>
      <c r="R2953" t="n">
        <v>0.1548</v>
      </c>
      <c r="S2953">
        <f>IMAGE("https://mitra.stanford.edu/kundaje/oak/projects/neuro-variants/variant_position/credible/roussos_2024/variant_figures/roussos_2024.infant.GLU/rs10008587_count_position.png",4,220,900)</f>
        <v/>
      </c>
      <c r="T2953">
        <f>IMAGE("https://mitra.stanford.edu/kundaje/oak/projects/neuro-variants/variant_position/credible/roussos_2024/variant_figures/roussos_2024.infant.GLU/rs10008587_profile_position.png",4,220,900)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0.009497245640000001</v>
      </c>
      <c r="G2954" t="n">
        <v>0.6115425536005059</v>
      </c>
      <c r="H2954" t="n">
        <v>0.036533104782692</v>
      </c>
      <c r="I2954" t="n">
        <v>0.0290406312212697</v>
      </c>
      <c r="J2954" t="n">
        <v>0.1488282369540774</v>
      </c>
      <c r="K2954" t="n">
        <v>0.1461997301754821</v>
      </c>
      <c r="L2954" t="b">
        <v>0</v>
      </c>
      <c r="M2954" t="b">
        <v>0</v>
      </c>
      <c r="N2954" t="inlineStr">
        <is>
          <t>alt</t>
        </is>
      </c>
      <c r="O2954" t="n">
        <v>80</v>
      </c>
      <c r="P2954" t="n">
        <v>0.01166</v>
      </c>
      <c r="Q2954" t="n">
        <v>100</v>
      </c>
      <c r="R2954" t="n">
        <v>0.468</v>
      </c>
      <c r="S2954">
        <f>IMAGE("https://mitra.stanford.edu/kundaje/oak/projects/neuro-variants/variant_position/credible/roussos_2024/variant_figures/roussos_2024.infant.GLU/rs12640723_count_position.png",4,220,900)</f>
        <v/>
      </c>
      <c r="T2954">
        <f>IMAGE("https://mitra.stanford.edu/kundaje/oak/projects/neuro-variants/variant_position/credible/roussos_2024/variant_figures/roussos_2024.infant.GLU/rs12640723_profile_position.png",4,220,900)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-0.0258555398</v>
      </c>
      <c r="G2955" t="n">
        <v>0.3684055744771833</v>
      </c>
      <c r="H2955" t="n">
        <v>0.0430023545424319</v>
      </c>
      <c r="I2955" t="n">
        <v>0.0149241413239112</v>
      </c>
      <c r="J2955" t="n">
        <v>0.061884080336868</v>
      </c>
      <c r="K2955" t="n">
        <v>0.3068825448453879</v>
      </c>
      <c r="L2955" t="b">
        <v>1</v>
      </c>
      <c r="M2955" t="b">
        <v>0</v>
      </c>
      <c r="N2955" t="inlineStr">
        <is>
          <t>ref</t>
        </is>
      </c>
      <c r="O2955" t="n">
        <v>20</v>
      </c>
      <c r="P2955" t="n">
        <v>0.01645</v>
      </c>
      <c r="Q2955" t="n">
        <v>65</v>
      </c>
      <c r="R2955" t="n">
        <v>0.11414</v>
      </c>
      <c r="S2955">
        <f>IMAGE("https://mitra.stanford.edu/kundaje/oak/projects/neuro-variants/variant_position/credible/roussos_2024/variant_figures/roussos_2024.infant.GLU/rs7683507_count_position.png",4,220,900)</f>
        <v/>
      </c>
      <c r="T2955">
        <f>IMAGE("https://mitra.stanford.edu/kundaje/oak/projects/neuro-variants/variant_position/credible/roussos_2024/variant_figures/roussos_2024.infant.GLU/rs7683507_profile_position.png",4,220,900)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-0.0121738122</v>
      </c>
      <c r="G2956" t="n">
        <v>0.4271091835883059</v>
      </c>
      <c r="H2956" t="n">
        <v>0.0257350242199586</v>
      </c>
      <c r="I2956" t="n">
        <v>0.0924324826571372</v>
      </c>
      <c r="J2956" t="n">
        <v>0.046659979276439</v>
      </c>
      <c r="K2956" t="n">
        <v>0.3570040838268561</v>
      </c>
      <c r="L2956" t="b">
        <v>0</v>
      </c>
      <c r="M2956" t="b">
        <v>0</v>
      </c>
      <c r="N2956" t="inlineStr">
        <is>
          <t>ref</t>
        </is>
      </c>
      <c r="O2956" t="n">
        <v>-70</v>
      </c>
      <c r="P2956" t="n">
        <v>0.0092</v>
      </c>
      <c r="Q2956" t="n">
        <v>-100</v>
      </c>
      <c r="R2956" t="n">
        <v>0.09314</v>
      </c>
      <c r="S2956">
        <f>IMAGE("https://mitra.stanford.edu/kundaje/oak/projects/neuro-variants/variant_position/credible/roussos_2024/variant_figures/roussos_2024.infant.GLU/rs28691127_count_position.png",4,220,900)</f>
        <v/>
      </c>
      <c r="T2956">
        <f>IMAGE("https://mitra.stanford.edu/kundaje/oak/projects/neuro-variants/variant_position/credible/roussos_2024/variant_figures/roussos_2024.infant.GLU/rs28691127_profile_position.png",4,220,900)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-0.00624818728</v>
      </c>
      <c r="G2957" t="n">
        <v>0.7157440524858687</v>
      </c>
      <c r="H2957" t="n">
        <v>0.0062440887122263</v>
      </c>
      <c r="I2957" t="n">
        <v>0.979973763749022</v>
      </c>
      <c r="J2957" t="n">
        <v>0.0065334332767476</v>
      </c>
      <c r="K2957" t="n">
        <v>0.7208950364721248</v>
      </c>
      <c r="L2957" t="b">
        <v>0</v>
      </c>
      <c r="M2957" t="b">
        <v>0</v>
      </c>
      <c r="N2957" t="inlineStr">
        <is>
          <t>ref</t>
        </is>
      </c>
      <c r="O2957" t="n">
        <v>0</v>
      </c>
      <c r="P2957" t="n">
        <v>0</v>
      </c>
      <c r="Q2957" t="n">
        <v>75</v>
      </c>
      <c r="R2957" t="n">
        <v>0.0786</v>
      </c>
      <c r="S2957">
        <f>IMAGE("https://mitra.stanford.edu/kundaje/oak/projects/neuro-variants/variant_position/credible/roussos_2024/variant_figures/roussos_2024.infant.GLU/rs16989276_count_position.png",4,220,900)</f>
        <v/>
      </c>
      <c r="T2957">
        <f>IMAGE("https://mitra.stanford.edu/kundaje/oak/projects/neuro-variants/variant_position/credible/roussos_2024/variant_figures/roussos_2024.infant.GLU/rs16989276_profile_position.png",4,220,900)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-0.0861019242</v>
      </c>
      <c r="G2958" t="n">
        <v>0.0704867980450766</v>
      </c>
      <c r="H2958" t="n">
        <v>0.0119259190148256</v>
      </c>
      <c r="I2958" t="n">
        <v>0.5685310058266129</v>
      </c>
      <c r="J2958" t="n">
        <v>0.0035252099914018</v>
      </c>
      <c r="K2958" t="n">
        <v>0.8017859364546231</v>
      </c>
      <c r="L2958" t="b">
        <v>0</v>
      </c>
      <c r="M2958" t="b">
        <v>0</v>
      </c>
      <c r="N2958" t="inlineStr">
        <is>
          <t>ref</t>
        </is>
      </c>
      <c r="O2958" t="n">
        <v>90</v>
      </c>
      <c r="P2958" t="n">
        <v>0.003891</v>
      </c>
      <c r="Q2958" t="n">
        <v>-55</v>
      </c>
      <c r="R2958" t="n">
        <v>0.12427</v>
      </c>
      <c r="S2958">
        <f>IMAGE("https://mitra.stanford.edu/kundaje/oak/projects/neuro-variants/variant_position/credible/roussos_2024/variant_figures/roussos_2024.infant.GLU/rs34920686_count_position.png",4,220,900)</f>
        <v/>
      </c>
      <c r="T2958">
        <f>IMAGE("https://mitra.stanford.edu/kundaje/oak/projects/neuro-variants/variant_position/credible/roussos_2024/variant_figures/roussos_2024.infant.GLU/rs34920686_profile_position.png",4,220,900)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0.02258584856</v>
      </c>
      <c r="G2959" t="n">
        <v>0.4144084719727349</v>
      </c>
      <c r="H2959" t="n">
        <v>0.0138422097325658</v>
      </c>
      <c r="I2959" t="n">
        <v>0.4269305929030565</v>
      </c>
      <c r="J2959" t="n">
        <v>0.0064849313256464</v>
      </c>
      <c r="K2959" t="n">
        <v>0.7608347771851263</v>
      </c>
      <c r="L2959" t="b">
        <v>0</v>
      </c>
      <c r="M2959" t="b">
        <v>0</v>
      </c>
      <c r="N2959" t="inlineStr">
        <is>
          <t>alt</t>
        </is>
      </c>
      <c r="O2959" t="n">
        <v>15</v>
      </c>
      <c r="P2959" t="n">
        <v>0.0016</v>
      </c>
      <c r="Q2959" t="n">
        <v>-100</v>
      </c>
      <c r="R2959" t="n">
        <v>0.06945999999999999</v>
      </c>
      <c r="S2959">
        <f>IMAGE("https://mitra.stanford.edu/kundaje/oak/projects/neuro-variants/variant_position/credible/roussos_2024/variant_figures/roussos_2024.infant.GLU/rs6814473_count_position.png",4,220,900)</f>
        <v/>
      </c>
      <c r="T2959">
        <f>IMAGE("https://mitra.stanford.edu/kundaje/oak/projects/neuro-variants/variant_position/credible/roussos_2024/variant_figures/roussos_2024.infant.GLU/rs6814473_profile_position.png",4,220,900)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-0.01185701196</v>
      </c>
      <c r="G2960" t="n">
        <v>0.5107208972752942</v>
      </c>
      <c r="H2960" t="n">
        <v>0.0348428351774902</v>
      </c>
      <c r="I2960" t="n">
        <v>0.0345303267661976</v>
      </c>
      <c r="J2960" t="n">
        <v>0.0214599087281464</v>
      </c>
      <c r="K2960" t="n">
        <v>0.5269161472114949</v>
      </c>
      <c r="L2960" t="b">
        <v>0</v>
      </c>
      <c r="M2960" t="b">
        <v>0</v>
      </c>
      <c r="N2960" t="inlineStr">
        <is>
          <t>ref</t>
        </is>
      </c>
      <c r="O2960" t="n">
        <v>-60</v>
      </c>
      <c r="P2960" t="n">
        <v>0.012024</v>
      </c>
      <c r="Q2960" t="n">
        <v>35</v>
      </c>
      <c r="R2960" t="n">
        <v>0.01221</v>
      </c>
      <c r="S2960">
        <f>IMAGE("https://mitra.stanford.edu/kundaje/oak/projects/neuro-variants/variant_position/credible/roussos_2024/variant_figures/roussos_2024.infant.GLU/rs35883430_count_position.png",4,220,900)</f>
        <v/>
      </c>
      <c r="T2960">
        <f>IMAGE("https://mitra.stanford.edu/kundaje/oak/projects/neuro-variants/variant_position/credible/roussos_2024/variant_figures/roussos_2024.infant.GLU/rs35883430_profile_position.png",4,220,900)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-0.079271226</v>
      </c>
      <c r="G2961" t="n">
        <v>0.0875943508566098</v>
      </c>
      <c r="H2961" t="n">
        <v>0.0157735304187636</v>
      </c>
      <c r="I2961" t="n">
        <v>0.3277855106541257</v>
      </c>
      <c r="J2961" t="n">
        <v>0.0325415022377036</v>
      </c>
      <c r="K2961" t="n">
        <v>0.4391978305341328</v>
      </c>
      <c r="L2961" t="b">
        <v>0</v>
      </c>
      <c r="M2961" t="b">
        <v>0</v>
      </c>
      <c r="N2961" t="inlineStr">
        <is>
          <t>ref</t>
        </is>
      </c>
      <c r="O2961" t="n">
        <v>25</v>
      </c>
      <c r="P2961" t="n">
        <v>0.00479</v>
      </c>
      <c r="Q2961" t="n">
        <v>85</v>
      </c>
      <c r="R2961" t="n">
        <v>0.10913</v>
      </c>
      <c r="S2961">
        <f>IMAGE("https://mitra.stanford.edu/kundaje/oak/projects/neuro-variants/variant_position/credible/roussos_2024/variant_figures/roussos_2024.infant.GLU/rs7665880_count_position.png",4,220,900)</f>
        <v/>
      </c>
      <c r="T2961">
        <f>IMAGE("https://mitra.stanford.edu/kundaje/oak/projects/neuro-variants/variant_position/credible/roussos_2024/variant_figures/roussos_2024.infant.GLU/rs7665880_profile_position.png",4,220,900)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-0.0436927318</v>
      </c>
      <c r="G2962" t="n">
        <v>0.2051920270697542</v>
      </c>
      <c r="H2962" t="n">
        <v>0.0419113836284137</v>
      </c>
      <c r="I2962" t="n">
        <v>0.0166443944840109</v>
      </c>
      <c r="J2962" t="n">
        <v>0.0131418241142881</v>
      </c>
      <c r="K2962" t="n">
        <v>0.6403169680031786</v>
      </c>
      <c r="L2962" t="b">
        <v>1</v>
      </c>
      <c r="M2962" t="b">
        <v>0</v>
      </c>
      <c r="N2962" t="inlineStr">
        <is>
          <t>ref</t>
        </is>
      </c>
      <c r="O2962" t="n">
        <v>-35</v>
      </c>
      <c r="P2962" t="n">
        <v>0.001776</v>
      </c>
      <c r="Q2962" t="n">
        <v>-60</v>
      </c>
      <c r="R2962" t="n">
        <v>0.02042</v>
      </c>
      <c r="S2962">
        <f>IMAGE("https://mitra.stanford.edu/kundaje/oak/projects/neuro-variants/variant_position/credible/roussos_2024/variant_figures/roussos_2024.infant.GLU/rs13130693_count_position.png",4,220,900)</f>
        <v/>
      </c>
      <c r="T2962">
        <f>IMAGE("https://mitra.stanford.edu/kundaje/oak/projects/neuro-variants/variant_position/credible/roussos_2024/variant_figures/roussos_2024.infant.GLU/rs13130693_profile_position.png",4,220,900)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-0.0142694705999999</v>
      </c>
      <c r="G2963" t="n">
        <v>0.1875932471194211</v>
      </c>
      <c r="H2963" t="n">
        <v>0.0136937719547853</v>
      </c>
      <c r="I2963" t="n">
        <v>0.4520998062263283</v>
      </c>
      <c r="J2963" t="n">
        <v>0.3537379571860049</v>
      </c>
      <c r="K2963" t="n">
        <v>0.0553652907231326</v>
      </c>
      <c r="L2963" t="b">
        <v>0</v>
      </c>
      <c r="M2963" t="b">
        <v>0</v>
      </c>
      <c r="N2963" t="inlineStr">
        <is>
          <t>ref</t>
        </is>
      </c>
      <c r="O2963" t="n">
        <v>-100</v>
      </c>
      <c r="P2963" t="n">
        <v>0.05035</v>
      </c>
      <c r="Q2963" t="n">
        <v>-70</v>
      </c>
      <c r="R2963" t="n">
        <v>0.05566</v>
      </c>
      <c r="S2963">
        <f>IMAGE("https://mitra.stanford.edu/kundaje/oak/projects/neuro-variants/variant_position/credible/roussos_2024/variant_figures/roussos_2024.infant.GLU/rs12647107_count_position.png",4,220,900)</f>
        <v/>
      </c>
      <c r="T2963">
        <f>IMAGE("https://mitra.stanford.edu/kundaje/oak/projects/neuro-variants/variant_position/credible/roussos_2024/variant_figures/roussos_2024.infant.GLU/rs12647107_profile_position.png",4,220,900)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0.0650246048</v>
      </c>
      <c r="G2964" t="n">
        <v>0.1067732620364632</v>
      </c>
      <c r="H2964" t="n">
        <v>0.011590355416722</v>
      </c>
      <c r="I2964" t="n">
        <v>0.5957634850241081</v>
      </c>
      <c r="J2964" t="n">
        <v>0.1197700566590973</v>
      </c>
      <c r="K2964" t="n">
        <v>0.1803253699741458</v>
      </c>
      <c r="L2964" t="b">
        <v>0</v>
      </c>
      <c r="M2964" t="b">
        <v>0</v>
      </c>
      <c r="N2964" t="inlineStr">
        <is>
          <t>alt</t>
        </is>
      </c>
      <c r="O2964" t="n">
        <v>100</v>
      </c>
      <c r="P2964" t="n">
        <v>0.01599</v>
      </c>
      <c r="Q2964" t="n">
        <v>-45</v>
      </c>
      <c r="R2964" t="n">
        <v>0.02588</v>
      </c>
      <c r="S2964">
        <f>IMAGE("https://mitra.stanford.edu/kundaje/oak/projects/neuro-variants/variant_position/credible/roussos_2024/variant_figures/roussos_2024.infant.GLU/rs35930604_count_position.png",4,220,900)</f>
        <v/>
      </c>
      <c r="T2964">
        <f>IMAGE("https://mitra.stanford.edu/kundaje/oak/projects/neuro-variants/variant_position/credible/roussos_2024/variant_figures/roussos_2024.infant.GLU/rs35930604_profile_position.png",4,220,900)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-0.0203734982</v>
      </c>
      <c r="G2965" t="n">
        <v>0.4073324387058819</v>
      </c>
      <c r="H2965" t="n">
        <v>0.02310979726542</v>
      </c>
      <c r="I2965" t="n">
        <v>0.126061340361741</v>
      </c>
      <c r="J2965" t="n">
        <v>0.2148052205736458</v>
      </c>
      <c r="K2965" t="n">
        <v>0.1032303384773527</v>
      </c>
      <c r="L2965" t="b">
        <v>0</v>
      </c>
      <c r="M2965" t="b">
        <v>0</v>
      </c>
      <c r="N2965" t="inlineStr">
        <is>
          <t>ref</t>
        </is>
      </c>
      <c r="O2965" t="n">
        <v>-100</v>
      </c>
      <c r="P2965" t="n">
        <v>0.02858</v>
      </c>
      <c r="Q2965" t="n">
        <v>35</v>
      </c>
      <c r="R2965" t="n">
        <v>0.0825</v>
      </c>
      <c r="S2965">
        <f>IMAGE("https://mitra.stanford.edu/kundaje/oak/projects/neuro-variants/variant_position/credible/roussos_2024/variant_figures/roussos_2024.infant.GLU/rs67951022_count_position.png",4,220,900)</f>
        <v/>
      </c>
      <c r="T2965">
        <f>IMAGE("https://mitra.stanford.edu/kundaje/oak/projects/neuro-variants/variant_position/credible/roussos_2024/variant_figures/roussos_2024.infant.GLU/rs67951022_profile_position.png",4,220,900)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0.0704834082</v>
      </c>
      <c r="G2966" t="n">
        <v>0.1035201708481795</v>
      </c>
      <c r="H2966" t="n">
        <v>0.0098084774412266</v>
      </c>
      <c r="I2966" t="n">
        <v>0.6983634613561093</v>
      </c>
      <c r="J2966" t="n">
        <v>0.0795101302938776</v>
      </c>
      <c r="K2966" t="n">
        <v>0.2535412507761724</v>
      </c>
      <c r="L2966" t="b">
        <v>0</v>
      </c>
      <c r="M2966" t="b">
        <v>0</v>
      </c>
      <c r="N2966" t="inlineStr">
        <is>
          <t>alt</t>
        </is>
      </c>
      <c r="O2966" t="n">
        <v>35</v>
      </c>
      <c r="P2966" t="n">
        <v>0.0303</v>
      </c>
      <c r="Q2966" t="n">
        <v>-20</v>
      </c>
      <c r="R2966" t="n">
        <v>0.01904</v>
      </c>
      <c r="S2966">
        <f>IMAGE("https://mitra.stanford.edu/kundaje/oak/projects/neuro-variants/variant_position/credible/roussos_2024/variant_figures/roussos_2024.infant.GLU/rs6531289_count_position.png",4,220,900)</f>
        <v/>
      </c>
      <c r="T2966">
        <f>IMAGE("https://mitra.stanford.edu/kundaje/oak/projects/neuro-variants/variant_position/credible/roussos_2024/variant_figures/roussos_2024.infant.GLU/rs6531289_profile_position.png",4,220,900)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0.0355738318</v>
      </c>
      <c r="G2967" t="n">
        <v>0.2610525816054637</v>
      </c>
      <c r="H2967" t="n">
        <v>0.0081530419947111</v>
      </c>
      <c r="I2967" t="n">
        <v>0.8959613648565057</v>
      </c>
      <c r="J2967" t="n">
        <v>0.0043530501113339</v>
      </c>
      <c r="K2967" t="n">
        <v>0.8035905436003752</v>
      </c>
      <c r="L2967" t="b">
        <v>0</v>
      </c>
      <c r="M2967" t="b">
        <v>0</v>
      </c>
      <c r="N2967" t="inlineStr">
        <is>
          <t>alt</t>
        </is>
      </c>
      <c r="O2967" t="n">
        <v>45</v>
      </c>
      <c r="P2967" t="n">
        <v>0.005295</v>
      </c>
      <c r="Q2967" t="n">
        <v>-100</v>
      </c>
      <c r="R2967" t="n">
        <v>0.0406</v>
      </c>
      <c r="S2967">
        <f>IMAGE("https://mitra.stanford.edu/kundaje/oak/projects/neuro-variants/variant_position/credible/roussos_2024/variant_figures/roussos_2024.infant.GLU/rs6824096_count_position.png",4,220,900)</f>
        <v/>
      </c>
      <c r="T2967">
        <f>IMAGE("https://mitra.stanford.edu/kundaje/oak/projects/neuro-variants/variant_position/credible/roussos_2024/variant_figures/roussos_2024.infant.GLU/rs6824096_profile_position.png",4,220,900)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0.07175766339999989</v>
      </c>
      <c r="G2968" t="n">
        <v>0.1036962518810261</v>
      </c>
      <c r="H2968" t="n">
        <v>0.0217442219425828</v>
      </c>
      <c r="I2968" t="n">
        <v>0.1515443300292493</v>
      </c>
      <c r="J2968" t="n">
        <v>0.0556118962058246</v>
      </c>
      <c r="K2968" t="n">
        <v>0.3245640432594976</v>
      </c>
      <c r="L2968" t="b">
        <v>0</v>
      </c>
      <c r="M2968" t="b">
        <v>0</v>
      </c>
      <c r="N2968" t="inlineStr">
        <is>
          <t>alt</t>
        </is>
      </c>
      <c r="O2968" t="n">
        <v>100</v>
      </c>
      <c r="P2968" t="n">
        <v>0.0245</v>
      </c>
      <c r="Q2968" t="n">
        <v>-80</v>
      </c>
      <c r="R2968" t="n">
        <v>0.05383</v>
      </c>
      <c r="S2968">
        <f>IMAGE("https://mitra.stanford.edu/kundaje/oak/projects/neuro-variants/variant_position/credible/roussos_2024/variant_figures/roussos_2024.infant.GLU/rs59339146_count_position.png",4,220,900)</f>
        <v/>
      </c>
      <c r="T2968">
        <f>IMAGE("https://mitra.stanford.edu/kundaje/oak/projects/neuro-variants/variant_position/credible/roussos_2024/variant_figures/roussos_2024.infant.GLU/rs59339146_profile_position.png",4,220,900)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-0.01244993658</v>
      </c>
      <c r="G2969" t="n">
        <v>0.5310341206923933</v>
      </c>
      <c r="H2969" t="n">
        <v>0.0111048589480203</v>
      </c>
      <c r="I2969" t="n">
        <v>0.6073733071684639</v>
      </c>
      <c r="J2969" t="n">
        <v>0.0261557794484004</v>
      </c>
      <c r="K2969" t="n">
        <v>0.500466223728788</v>
      </c>
      <c r="L2969" t="b">
        <v>0</v>
      </c>
      <c r="M2969" t="b">
        <v>0</v>
      </c>
      <c r="N2969" t="inlineStr">
        <is>
          <t>ref</t>
        </is>
      </c>
      <c r="O2969" t="n">
        <v>-95</v>
      </c>
      <c r="P2969" t="n">
        <v>0.01345</v>
      </c>
      <c r="Q2969" t="n">
        <v>-100</v>
      </c>
      <c r="R2969" t="n">
        <v>0.0615</v>
      </c>
      <c r="S2969">
        <f>IMAGE("https://mitra.stanford.edu/kundaje/oak/projects/neuro-variants/variant_position/credible/roussos_2024/variant_figures/roussos_2024.infant.GLU/rs35776025_count_position.png",4,220,900)</f>
        <v/>
      </c>
      <c r="T2969">
        <f>IMAGE("https://mitra.stanford.edu/kundaje/oak/projects/neuro-variants/variant_position/credible/roussos_2024/variant_figures/roussos_2024.infant.GLU/rs35776025_profile_position.png",4,220,900)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0.0458998088</v>
      </c>
      <c r="G2970" t="n">
        <v>0.1896691790504784</v>
      </c>
      <c r="H2970" t="n">
        <v>0.0100411052580469</v>
      </c>
      <c r="I2970" t="n">
        <v>0.7328222993387904</v>
      </c>
      <c r="J2970" t="n">
        <v>0.0300645957803302</v>
      </c>
      <c r="K2970" t="n">
        <v>0.4689972986385832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0.007835</v>
      </c>
      <c r="Q2970" t="n">
        <v>-75</v>
      </c>
      <c r="R2970" t="n">
        <v>0.053</v>
      </c>
      <c r="S2970">
        <f>IMAGE("https://mitra.stanford.edu/kundaje/oak/projects/neuro-variants/variant_position/credible/roussos_2024/variant_figures/roussos_2024.infant.GLU/rs6844408_count_position.png",4,220,900)</f>
        <v/>
      </c>
      <c r="T2970">
        <f>IMAGE("https://mitra.stanford.edu/kundaje/oak/projects/neuro-variants/variant_position/credible/roussos_2024/variant_figures/roussos_2024.infant.GLU/rs6844408_profile_position.png",4,220,900)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-0.00687476514</v>
      </c>
      <c r="G2971" t="n">
        <v>0.7053619634183934</v>
      </c>
      <c r="H2971" t="n">
        <v>0.0470997426720553</v>
      </c>
      <c r="I2971" t="n">
        <v>0.0103545569916932</v>
      </c>
      <c r="J2971" t="n">
        <v>0.0231828303093101</v>
      </c>
      <c r="K2971" t="n">
        <v>0.5207040395528384</v>
      </c>
      <c r="L2971" t="b">
        <v>1</v>
      </c>
      <c r="M2971" t="b">
        <v>0</v>
      </c>
      <c r="N2971" t="inlineStr">
        <is>
          <t>ref</t>
        </is>
      </c>
      <c r="O2971" t="n">
        <v>-85</v>
      </c>
      <c r="P2971" t="n">
        <v>0.01929</v>
      </c>
      <c r="Q2971" t="n">
        <v>-20</v>
      </c>
      <c r="R2971" t="n">
        <v>0.04474</v>
      </c>
      <c r="S2971">
        <f>IMAGE("https://mitra.stanford.edu/kundaje/oak/projects/neuro-variants/variant_position/credible/roussos_2024/variant_figures/roussos_2024.infant.GLU/rs10461117_count_position.png",4,220,900)</f>
        <v/>
      </c>
      <c r="T2971">
        <f>IMAGE("https://mitra.stanford.edu/kundaje/oak/projects/neuro-variants/variant_position/credible/roussos_2024/variant_figures/roussos_2024.infant.GLU/rs10461117_profile_position.png",4,220,900)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-0.0246440258</v>
      </c>
      <c r="G2972" t="n">
        <v>0.3852864904236769</v>
      </c>
      <c r="H2972" t="n">
        <v>0.06501299043695739</v>
      </c>
      <c r="I2972" t="n">
        <v>0.0020721605928754</v>
      </c>
      <c r="J2972" t="n">
        <v>0.0336416146740448</v>
      </c>
      <c r="K2972" t="n">
        <v>0.4320670024751402</v>
      </c>
      <c r="L2972" t="b">
        <v>1</v>
      </c>
      <c r="M2972" t="b">
        <v>0</v>
      </c>
      <c r="N2972" t="inlineStr">
        <is>
          <t>ref</t>
        </is>
      </c>
      <c r="O2972" t="n">
        <v>-20</v>
      </c>
      <c r="P2972" t="n">
        <v>0.003387</v>
      </c>
      <c r="Q2972" t="n">
        <v>-55</v>
      </c>
      <c r="R2972" t="n">
        <v>0.05615</v>
      </c>
      <c r="S2972">
        <f>IMAGE("https://mitra.stanford.edu/kundaje/oak/projects/neuro-variants/variant_position/credible/roussos_2024/variant_figures/roussos_2024.infant.GLU/rs113731541_count_position.png",4,220,900)</f>
        <v/>
      </c>
      <c r="T2972">
        <f>IMAGE("https://mitra.stanford.edu/kundaje/oak/projects/neuro-variants/variant_position/credible/roussos_2024/variant_figures/roussos_2024.infant.GLU/rs113731541_profile_position.png",4,220,900)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0.019958364</v>
      </c>
      <c r="G2973" t="n">
        <v>0.4403338229431455</v>
      </c>
      <c r="H2973" t="n">
        <v>0.037433865826425</v>
      </c>
      <c r="I2973" t="n">
        <v>0.0262979866806473</v>
      </c>
      <c r="J2973" t="n">
        <v>0.0354637447915518</v>
      </c>
      <c r="K2973" t="n">
        <v>0.4213481385632394</v>
      </c>
      <c r="L2973" t="b">
        <v>0</v>
      </c>
      <c r="M2973" t="b">
        <v>0</v>
      </c>
      <c r="N2973" t="inlineStr">
        <is>
          <t>alt</t>
        </is>
      </c>
      <c r="O2973" t="n">
        <v>-40</v>
      </c>
      <c r="P2973" t="n">
        <v>0.012115</v>
      </c>
      <c r="Q2973" t="n">
        <v>-85</v>
      </c>
      <c r="R2973" t="n">
        <v>0.0579</v>
      </c>
      <c r="S2973">
        <f>IMAGE("https://mitra.stanford.edu/kundaje/oak/projects/neuro-variants/variant_position/credible/roussos_2024/variant_figures/roussos_2024.infant.GLU/rs34334195_count_position.png",4,220,900)</f>
        <v/>
      </c>
      <c r="T2973">
        <f>IMAGE("https://mitra.stanford.edu/kundaje/oak/projects/neuro-variants/variant_position/credible/roussos_2024/variant_figures/roussos_2024.infant.GLU/rs34334195_profile_position.png",4,220,900)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-0.0451912144</v>
      </c>
      <c r="G2974" t="n">
        <v>0.1934759820601005</v>
      </c>
      <c r="H2974" t="n">
        <v>0.0591372770316685</v>
      </c>
      <c r="I2974" t="n">
        <v>0.0032990327274793</v>
      </c>
      <c r="J2974" t="n">
        <v>0.009707004122665799</v>
      </c>
      <c r="K2974" t="n">
        <v>0.6656770608324987</v>
      </c>
      <c r="L2974" t="b">
        <v>0</v>
      </c>
      <c r="M2974" t="b">
        <v>0</v>
      </c>
      <c r="N2974" t="inlineStr">
        <is>
          <t>ref</t>
        </is>
      </c>
      <c r="O2974" t="n">
        <v>-75</v>
      </c>
      <c r="P2974" t="n">
        <v>0.03058</v>
      </c>
      <c r="Q2974" t="n">
        <v>-75</v>
      </c>
      <c r="R2974" t="n">
        <v>0.02081</v>
      </c>
      <c r="S2974">
        <f>IMAGE("https://mitra.stanford.edu/kundaje/oak/projects/neuro-variants/variant_position/credible/roussos_2024/variant_figures/roussos_2024.infant.GLU/rs35361741_count_position.png",4,220,900)</f>
        <v/>
      </c>
      <c r="T2974">
        <f>IMAGE("https://mitra.stanford.edu/kundaje/oak/projects/neuro-variants/variant_position/credible/roussos_2024/variant_figures/roussos_2024.infant.GLU/rs35361741_profile_position.png",4,220,900)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-0.1837421659999999</v>
      </c>
      <c r="G2975" t="n">
        <v>0.013763828649812</v>
      </c>
      <c r="H2975" t="n">
        <v>0.0288581846355263</v>
      </c>
      <c r="I2975" t="n">
        <v>0.0665047477223276</v>
      </c>
      <c r="J2975" t="n">
        <v>0.020379637999074</v>
      </c>
      <c r="K2975" t="n">
        <v>0.5461761205209439</v>
      </c>
      <c r="L2975" t="b">
        <v>1</v>
      </c>
      <c r="M2975" t="b">
        <v>0</v>
      </c>
      <c r="N2975" t="inlineStr">
        <is>
          <t>ref</t>
        </is>
      </c>
      <c r="O2975" t="n">
        <v>100</v>
      </c>
      <c r="P2975" t="n">
        <v>0.02667</v>
      </c>
      <c r="Q2975" t="n">
        <v>-85</v>
      </c>
      <c r="R2975" t="n">
        <v>0.02759</v>
      </c>
      <c r="S2975">
        <f>IMAGE("https://mitra.stanford.edu/kundaje/oak/projects/neuro-variants/variant_position/credible/roussos_2024/variant_figures/roussos_2024.infant.GLU/rs13146184_count_position.png",4,220,900)</f>
        <v/>
      </c>
      <c r="T2975">
        <f>IMAGE("https://mitra.stanford.edu/kundaje/oak/projects/neuro-variants/variant_position/credible/roussos_2024/variant_figures/roussos_2024.infant.GLU/rs13146184_profile_position.png",4,220,900)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0.0027795291</v>
      </c>
      <c r="G2976" t="n">
        <v>0.6161024568021756</v>
      </c>
      <c r="H2976" t="n">
        <v>0.038773746153572</v>
      </c>
      <c r="I2976" t="n">
        <v>0.0231065608177372</v>
      </c>
      <c r="J2976" t="n">
        <v>0.0052789964505389</v>
      </c>
      <c r="K2976" t="n">
        <v>0.7698647410984</v>
      </c>
      <c r="L2976" t="b">
        <v>0</v>
      </c>
      <c r="M2976" t="b">
        <v>0</v>
      </c>
      <c r="N2976" t="inlineStr">
        <is>
          <t>alt</t>
        </is>
      </c>
      <c r="O2976" t="n">
        <v>10</v>
      </c>
      <c r="P2976" t="n">
        <v>0.001198</v>
      </c>
      <c r="Q2976" t="n">
        <v>100</v>
      </c>
      <c r="R2976" t="n">
        <v>0.2246</v>
      </c>
      <c r="S2976">
        <f>IMAGE("https://mitra.stanford.edu/kundaje/oak/projects/neuro-variants/variant_position/credible/roussos_2024/variant_figures/roussos_2024.infant.GLU/rs3924935_count_position.png",4,220,900)</f>
        <v/>
      </c>
      <c r="T2976">
        <f>IMAGE("https://mitra.stanford.edu/kundaje/oak/projects/neuro-variants/variant_position/credible/roussos_2024/variant_figures/roussos_2024.infant.GLU/rs3924935_profile_position.png",4,220,900)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0.0217473396</v>
      </c>
      <c r="G2977" t="n">
        <v>0.4097815857842158</v>
      </c>
      <c r="H2977" t="n">
        <v>0.0475840310162128</v>
      </c>
      <c r="I2977" t="n">
        <v>0.009553533824237299</v>
      </c>
      <c r="J2977" t="n">
        <v>0.0183756255649374</v>
      </c>
      <c r="K2977" t="n">
        <v>0.5488373502400213</v>
      </c>
      <c r="L2977" t="b">
        <v>1</v>
      </c>
      <c r="M2977" t="b">
        <v>0</v>
      </c>
      <c r="N2977" t="inlineStr">
        <is>
          <t>alt</t>
        </is>
      </c>
      <c r="O2977" t="n">
        <v>60</v>
      </c>
      <c r="P2977" t="n">
        <v>0.003662</v>
      </c>
      <c r="Q2977" t="n">
        <v>55</v>
      </c>
      <c r="R2977" t="n">
        <v>0.04147</v>
      </c>
      <c r="S2977">
        <f>IMAGE("https://mitra.stanford.edu/kundaje/oak/projects/neuro-variants/variant_position/credible/roussos_2024/variant_figures/roussos_2024.infant.GLU/rs35921722_count_position.png",4,220,900)</f>
        <v/>
      </c>
      <c r="T2977">
        <f>IMAGE("https://mitra.stanford.edu/kundaje/oak/projects/neuro-variants/variant_position/credible/roussos_2024/variant_figures/roussos_2024.infant.GLU/rs35921722_profile_position.png",4,220,900)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-0.0069368244899999</v>
      </c>
      <c r="G2978" t="n">
        <v>0.7038862025794556</v>
      </c>
      <c r="H2978" t="n">
        <v>0.028790228637758</v>
      </c>
      <c r="I2978" t="n">
        <v>0.0659738074389483</v>
      </c>
      <c r="J2978" t="n">
        <v>0.0039429881611146</v>
      </c>
      <c r="K2978" t="n">
        <v>0.7839545655601736</v>
      </c>
      <c r="L2978" t="b">
        <v>0</v>
      </c>
      <c r="M2978" t="b">
        <v>0</v>
      </c>
      <c r="N2978" t="inlineStr">
        <is>
          <t>ref</t>
        </is>
      </c>
      <c r="O2978" t="n">
        <v>-50</v>
      </c>
      <c r="P2978" t="n">
        <v>0.02258</v>
      </c>
      <c r="Q2978" t="n">
        <v>-90</v>
      </c>
      <c r="R2978" t="n">
        <v>0.04257</v>
      </c>
      <c r="S2978">
        <f>IMAGE("https://mitra.stanford.edu/kundaje/oak/projects/neuro-variants/variant_position/credible/roussos_2024/variant_figures/roussos_2024.infant.GLU/rs9985883_count_position.png",4,220,900)</f>
        <v/>
      </c>
      <c r="T2978">
        <f>IMAGE("https://mitra.stanford.edu/kundaje/oak/projects/neuro-variants/variant_position/credible/roussos_2024/variant_figures/roussos_2024.infant.GLU/rs9985883_profile_position.png",4,220,900)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0.155704583</v>
      </c>
      <c r="G2979" t="n">
        <v>0.0217351397365163</v>
      </c>
      <c r="H2979" t="n">
        <v>0.0246436108436829</v>
      </c>
      <c r="I2979" t="n">
        <v>0.1048395022042033</v>
      </c>
      <c r="J2979" t="n">
        <v>0.0936671884300799</v>
      </c>
      <c r="K2979" t="n">
        <v>0.2175984147858871</v>
      </c>
      <c r="L2979" t="b">
        <v>0</v>
      </c>
      <c r="M2979" t="b">
        <v>0</v>
      </c>
      <c r="N2979" t="inlineStr">
        <is>
          <t>alt</t>
        </is>
      </c>
      <c r="O2979" t="n">
        <v>-5</v>
      </c>
      <c r="P2979" t="n">
        <v>0.0001526</v>
      </c>
      <c r="Q2979" t="n">
        <v>20</v>
      </c>
      <c r="R2979" t="n">
        <v>0.011475</v>
      </c>
      <c r="S2979">
        <f>IMAGE("https://mitra.stanford.edu/kundaje/oak/projects/neuro-variants/variant_position/credible/roussos_2024/variant_figures/roussos_2024.infant.GLU/rs13152643_count_position.png",4,220,900)</f>
        <v/>
      </c>
      <c r="T2979">
        <f>IMAGE("https://mitra.stanford.edu/kundaje/oak/projects/neuro-variants/variant_position/credible/roussos_2024/variant_figures/roussos_2024.infant.GLU/rs13152643_profile_position.png",4,220,900)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-0.01003322772</v>
      </c>
      <c r="G2980" t="n">
        <v>0.5090692392915347</v>
      </c>
      <c r="H2980" t="n">
        <v>0.0416284116410766</v>
      </c>
      <c r="I2980" t="n">
        <v>0.0175750697792082</v>
      </c>
      <c r="J2980" t="n">
        <v>0.0225093145792455</v>
      </c>
      <c r="K2980" t="n">
        <v>0.5120268079759708</v>
      </c>
      <c r="L2980" t="b">
        <v>1</v>
      </c>
      <c r="M2980" t="b">
        <v>0</v>
      </c>
      <c r="N2980" t="inlineStr">
        <is>
          <t>ref</t>
        </is>
      </c>
      <c r="O2980" t="n">
        <v>5</v>
      </c>
      <c r="P2980" t="n">
        <v>0.001007</v>
      </c>
      <c r="Q2980" t="n">
        <v>-80</v>
      </c>
      <c r="R2980" t="n">
        <v>0.0267</v>
      </c>
      <c r="S2980">
        <f>IMAGE("https://mitra.stanford.edu/kundaje/oak/projects/neuro-variants/variant_position/credible/roussos_2024/variant_figures/roussos_2024.infant.GLU/rs10022287_count_position.png",4,220,900)</f>
        <v/>
      </c>
      <c r="T2980">
        <f>IMAGE("https://mitra.stanford.edu/kundaje/oak/projects/neuro-variants/variant_position/credible/roussos_2024/variant_figures/roussos_2024.infant.GLU/rs10022287_profile_position.png",4,220,900)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-0.0570770282</v>
      </c>
      <c r="G2981" t="n">
        <v>0.1421749251637555</v>
      </c>
      <c r="H2981" t="n">
        <v>0.0141357191722275</v>
      </c>
      <c r="I2981" t="n">
        <v>0.4154188960023088</v>
      </c>
      <c r="J2981" t="n">
        <v>0.008068960955929299</v>
      </c>
      <c r="K2981" t="n">
        <v>0.6944338358551906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0.09204</v>
      </c>
      <c r="Q2981" t="n">
        <v>65</v>
      </c>
      <c r="R2981" t="n">
        <v>0.08093</v>
      </c>
      <c r="S2981">
        <f>IMAGE("https://mitra.stanford.edu/kundaje/oak/projects/neuro-variants/variant_position/credible/roussos_2024/variant_figures/roussos_2024.infant.GLU/rs10010927_count_position.png",4,220,900)</f>
        <v/>
      </c>
      <c r="T2981">
        <f>IMAGE("https://mitra.stanford.edu/kundaje/oak/projects/neuro-variants/variant_position/credible/roussos_2024/variant_figures/roussos_2024.infant.GLU/rs10010927_profile_position.png",4,220,900)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-0.042562262</v>
      </c>
      <c r="G2982" t="n">
        <v>0.2172773569634128</v>
      </c>
      <c r="H2982" t="n">
        <v>0.0105609409428009</v>
      </c>
      <c r="I2982" t="n">
        <v>0.687199444041839</v>
      </c>
      <c r="J2982" t="n">
        <v>0.0041821909654092</v>
      </c>
      <c r="K2982" t="n">
        <v>0.7786719090634548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0.07439999999999999</v>
      </c>
      <c r="Q2982" t="n">
        <v>80</v>
      </c>
      <c r="R2982" t="n">
        <v>0.04224</v>
      </c>
      <c r="S2982">
        <f>IMAGE("https://mitra.stanford.edu/kundaje/oak/projects/neuro-variants/variant_position/credible/roussos_2024/variant_figures/roussos_2024.infant.GLU/rs28473456_count_position.png",4,220,900)</f>
        <v/>
      </c>
      <c r="T2982">
        <f>IMAGE("https://mitra.stanford.edu/kundaje/oak/projects/neuro-variants/variant_position/credible/roussos_2024/variant_figures/roussos_2024.infant.GLU/rs28473456_profile_position.png",4,220,900)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-0.0468103404</v>
      </c>
      <c r="G2983" t="n">
        <v>0.1950351479048005</v>
      </c>
      <c r="H2983" t="n">
        <v>0.009568513894768101</v>
      </c>
      <c r="I2983" t="n">
        <v>0.7529621069235646</v>
      </c>
      <c r="J2983" t="n">
        <v>0.0238839039661368</v>
      </c>
      <c r="K2983" t="n">
        <v>0.502023864740498</v>
      </c>
      <c r="L2983" t="b">
        <v>0</v>
      </c>
      <c r="M2983" t="b">
        <v>0</v>
      </c>
      <c r="N2983" t="inlineStr">
        <is>
          <t>ref</t>
        </is>
      </c>
      <c r="O2983" t="n">
        <v>10</v>
      </c>
      <c r="P2983" t="n">
        <v>0.00763</v>
      </c>
      <c r="Q2983" t="n">
        <v>-25</v>
      </c>
      <c r="R2983" t="n">
        <v>0.04993</v>
      </c>
      <c r="S2983">
        <f>IMAGE("https://mitra.stanford.edu/kundaje/oak/projects/neuro-variants/variant_position/credible/roussos_2024/variant_figures/roussos_2024.infant.GLU/rs6854464_count_position.png",4,220,900)</f>
        <v/>
      </c>
      <c r="T2983">
        <f>IMAGE("https://mitra.stanford.edu/kundaje/oak/projects/neuro-variants/variant_position/credible/roussos_2024/variant_figures/roussos_2024.infant.GLU/rs6854464_profile_position.png",4,220,900)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0.036665239</v>
      </c>
      <c r="G2984" t="n">
        <v>0.2511816066537028</v>
      </c>
      <c r="H2984" t="n">
        <v>0.012497160773833</v>
      </c>
      <c r="I2984" t="n">
        <v>0.5226853741787736</v>
      </c>
      <c r="J2984" t="n">
        <v>0.02299984567561</v>
      </c>
      <c r="K2984" t="n">
        <v>0.5105841099061132</v>
      </c>
      <c r="L2984" t="b">
        <v>0</v>
      </c>
      <c r="M2984" t="b">
        <v>0</v>
      </c>
      <c r="N2984" t="inlineStr">
        <is>
          <t>alt</t>
        </is>
      </c>
      <c r="O2984" t="n">
        <v>15</v>
      </c>
      <c r="P2984" t="n">
        <v>0.00685</v>
      </c>
      <c r="Q2984" t="n">
        <v>100</v>
      </c>
      <c r="R2984" t="n">
        <v>0.07935</v>
      </c>
      <c r="S2984">
        <f>IMAGE("https://mitra.stanford.edu/kundaje/oak/projects/neuro-variants/variant_position/credible/roussos_2024/variant_figures/roussos_2024.infant.GLU/rs34045875_count_position.png",4,220,900)</f>
        <v/>
      </c>
      <c r="T2984">
        <f>IMAGE("https://mitra.stanford.edu/kundaje/oak/projects/neuro-variants/variant_position/credible/roussos_2024/variant_figures/roussos_2024.infant.GLU/rs34045875_profile_position.png",4,220,900)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-0.185605872</v>
      </c>
      <c r="G2985" t="n">
        <v>0.0137084470034122</v>
      </c>
      <c r="H2985" t="n">
        <v>0.0242285721866157</v>
      </c>
      <c r="I2985" t="n">
        <v>0.1197616101902791</v>
      </c>
      <c r="J2985" t="n">
        <v>0.2019224409709208</v>
      </c>
      <c r="K2985" t="n">
        <v>0.1121424965710536</v>
      </c>
      <c r="L2985" t="b">
        <v>1</v>
      </c>
      <c r="M2985" t="b">
        <v>0</v>
      </c>
      <c r="N2985" t="inlineStr">
        <is>
          <t>ref</t>
        </is>
      </c>
      <c r="O2985" t="n">
        <v>70</v>
      </c>
      <c r="P2985" t="n">
        <v>0.1603</v>
      </c>
      <c r="Q2985" t="n">
        <v>-95</v>
      </c>
      <c r="R2985" t="n">
        <v>0.1816</v>
      </c>
      <c r="S2985">
        <f>IMAGE("https://mitra.stanford.edu/kundaje/oak/projects/neuro-variants/variant_position/credible/roussos_2024/variant_figures/roussos_2024.infant.GLU/rs13149553_count_position.png",4,220,900)</f>
        <v/>
      </c>
      <c r="T2985">
        <f>IMAGE("https://mitra.stanford.edu/kundaje/oak/projects/neuro-variants/variant_position/credible/roussos_2024/variant_figures/roussos_2024.infant.GLU/rs13149553_profile_position.png",4,220,900)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-0.01134290756</v>
      </c>
      <c r="G2986" t="n">
        <v>0.6100119255551344</v>
      </c>
      <c r="H2986" t="n">
        <v>0.0418402889405409</v>
      </c>
      <c r="I2986" t="n">
        <v>0.0167915305297037</v>
      </c>
      <c r="J2986" t="n">
        <v>0.1862386736921007</v>
      </c>
      <c r="K2986" t="n">
        <v>0.1226992544353197</v>
      </c>
      <c r="L2986" t="b">
        <v>1</v>
      </c>
      <c r="M2986" t="b">
        <v>0</v>
      </c>
      <c r="N2986" t="inlineStr">
        <is>
          <t>ref</t>
        </is>
      </c>
      <c r="O2986" t="n">
        <v>-60</v>
      </c>
      <c r="P2986" t="n">
        <v>0.02979</v>
      </c>
      <c r="Q2986" t="n">
        <v>-100</v>
      </c>
      <c r="R2986" t="n">
        <v>0.04297</v>
      </c>
      <c r="S2986">
        <f>IMAGE("https://mitra.stanford.edu/kundaje/oak/projects/neuro-variants/variant_position/credible/roussos_2024/variant_figures/roussos_2024.infant.GLU/rs13149360_count_position.png",4,220,900)</f>
        <v/>
      </c>
      <c r="T2986">
        <f>IMAGE("https://mitra.stanford.edu/kundaje/oak/projects/neuro-variants/variant_position/credible/roussos_2024/variant_figures/roussos_2024.infant.GLU/rs13149360_profile_position.png",4,220,900)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-0.0285436858</v>
      </c>
      <c r="G2987" t="n">
        <v>0.3395448599145061</v>
      </c>
      <c r="H2987" t="n">
        <v>0.0108189320360292</v>
      </c>
      <c r="I2987" t="n">
        <v>0.6495940107913296</v>
      </c>
      <c r="J2987" t="n">
        <v>0.0030148371877686</v>
      </c>
      <c r="K2987" t="n">
        <v>0.8128066982034933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0.3174</v>
      </c>
      <c r="Q2987" t="n">
        <v>-50</v>
      </c>
      <c r="R2987" t="n">
        <v>0.1714</v>
      </c>
      <c r="S2987">
        <f>IMAGE("https://mitra.stanford.edu/kundaje/oak/projects/neuro-variants/variant_position/credible/roussos_2024/variant_figures/roussos_2024.infant.GLU/rs3924385_count_position.png",4,220,900)</f>
        <v/>
      </c>
      <c r="T2987">
        <f>IMAGE("https://mitra.stanford.edu/kundaje/oak/projects/neuro-variants/variant_position/credible/roussos_2024/variant_figures/roussos_2024.infant.GLU/rs3924385_profile_position.png",4,220,900)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0.0075973114</v>
      </c>
      <c r="G2988" t="n">
        <v>0.4524448158826498</v>
      </c>
      <c r="H2988" t="n">
        <v>0.0084752113939462</v>
      </c>
      <c r="I2988" t="n">
        <v>0.8278770284361435</v>
      </c>
      <c r="J2988" t="n">
        <v>0.0293238387089661</v>
      </c>
      <c r="K2988" t="n">
        <v>0.4605694770519708</v>
      </c>
      <c r="L2988" t="b">
        <v>0</v>
      </c>
      <c r="M2988" t="b">
        <v>0</v>
      </c>
      <c r="N2988" t="inlineStr">
        <is>
          <t>alt</t>
        </is>
      </c>
      <c r="O2988" t="n">
        <v>-95</v>
      </c>
      <c r="P2988" t="n">
        <v>0.015076</v>
      </c>
      <c r="Q2988" t="n">
        <v>-85</v>
      </c>
      <c r="R2988" t="n">
        <v>0.07556</v>
      </c>
      <c r="S2988">
        <f>IMAGE("https://mitra.stanford.edu/kundaje/oak/projects/neuro-variants/variant_position/credible/roussos_2024/variant_figures/roussos_2024.infant.GLU/rs28491432_count_position.png",4,220,900)</f>
        <v/>
      </c>
      <c r="T2988">
        <f>IMAGE("https://mitra.stanford.edu/kundaje/oak/projects/neuro-variants/variant_position/credible/roussos_2024/variant_figures/roussos_2024.infant.GLU/rs28491432_profile_position.png",4,220,900)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0.0274829965999999</v>
      </c>
      <c r="G2989" t="n">
        <v>0.2620960453133432</v>
      </c>
      <c r="H2989" t="n">
        <v>0.0305094123466201</v>
      </c>
      <c r="I2989" t="n">
        <v>0.0603113771930163</v>
      </c>
      <c r="J2989" t="n">
        <v>0.1022873079212504</v>
      </c>
      <c r="K2989" t="n">
        <v>0.2044111003015036</v>
      </c>
      <c r="L2989" t="b">
        <v>0</v>
      </c>
      <c r="M2989" t="b">
        <v>0</v>
      </c>
      <c r="N2989" t="inlineStr">
        <is>
          <t>alt</t>
        </is>
      </c>
      <c r="O2989" t="n">
        <v>-95</v>
      </c>
      <c r="P2989" t="n">
        <v>0.00937</v>
      </c>
      <c r="Q2989" t="n">
        <v>70</v>
      </c>
      <c r="R2989" t="n">
        <v>0.0504</v>
      </c>
      <c r="S2989">
        <f>IMAGE("https://mitra.stanford.edu/kundaje/oak/projects/neuro-variants/variant_position/credible/roussos_2024/variant_figures/roussos_2024.infant.GLU/rs13126801_count_position.png",4,220,900)</f>
        <v/>
      </c>
      <c r="T2989">
        <f>IMAGE("https://mitra.stanford.edu/kundaje/oak/projects/neuro-variants/variant_position/credible/roussos_2024/variant_figures/roussos_2024.infant.GLU/rs13126801_profile_position.png",4,220,900)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-0.0175932814</v>
      </c>
      <c r="G2990" t="n">
        <v>0.4863653993821729</v>
      </c>
      <c r="H2990" t="n">
        <v>0.0666298782117514</v>
      </c>
      <c r="I2990" t="n">
        <v>0.0017859126671588</v>
      </c>
      <c r="J2990" t="n">
        <v>0.0291695143190987</v>
      </c>
      <c r="K2990" t="n">
        <v>0.4574309852474773</v>
      </c>
      <c r="L2990" t="b">
        <v>1</v>
      </c>
      <c r="M2990" t="b">
        <v>0</v>
      </c>
      <c r="N2990" t="inlineStr">
        <is>
          <t>ref</t>
        </is>
      </c>
      <c r="O2990" t="n">
        <v>-100</v>
      </c>
      <c r="P2990" t="n">
        <v>0.0279</v>
      </c>
      <c r="Q2990" t="n">
        <v>100</v>
      </c>
      <c r="R2990" t="n">
        <v>0.1533</v>
      </c>
      <c r="S2990">
        <f>IMAGE("https://mitra.stanford.edu/kundaje/oak/projects/neuro-variants/variant_position/credible/roussos_2024/variant_figures/roussos_2024.infant.GLU/rs80143073_count_position.png",4,220,900)</f>
        <v/>
      </c>
      <c r="T2990">
        <f>IMAGE("https://mitra.stanford.edu/kundaje/oak/projects/neuro-variants/variant_position/credible/roussos_2024/variant_figures/roussos_2024.infant.GLU/rs80143073_profile_position.png",4,220,900)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-0.00792836938</v>
      </c>
      <c r="G2991" t="n">
        <v>0.7006610719601865</v>
      </c>
      <c r="H2991" t="n">
        <v>0.0338458183420512</v>
      </c>
      <c r="I2991" t="n">
        <v>0.0383884670988861</v>
      </c>
      <c r="J2991" t="n">
        <v>0.014202253136092</v>
      </c>
      <c r="K2991" t="n">
        <v>0.5962363807292819</v>
      </c>
      <c r="L2991" t="b">
        <v>0</v>
      </c>
      <c r="M2991" t="b">
        <v>0</v>
      </c>
      <c r="N2991" t="inlineStr">
        <is>
          <t>ref</t>
        </is>
      </c>
      <c r="O2991" t="n">
        <v>0</v>
      </c>
      <c r="P2991" t="n">
        <v>0</v>
      </c>
      <c r="Q2991" t="n">
        <v>-100</v>
      </c>
      <c r="R2991" t="n">
        <v>0.02054</v>
      </c>
      <c r="S2991">
        <f>IMAGE("https://mitra.stanford.edu/kundaje/oak/projects/neuro-variants/variant_position/credible/roussos_2024/variant_figures/roussos_2024.infant.GLU/rs28576298_count_position.png",4,220,900)</f>
        <v/>
      </c>
      <c r="T2991">
        <f>IMAGE("https://mitra.stanford.edu/kundaje/oak/projects/neuro-variants/variant_position/credible/roussos_2024/variant_figures/roussos_2024.infant.GLU/rs28576298_profile_position.png",4,220,900)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0.0095894593</v>
      </c>
      <c r="G2992" t="n">
        <v>0.6485540948784712</v>
      </c>
      <c r="H2992" t="n">
        <v>0.0344646964765478</v>
      </c>
      <c r="I2992" t="n">
        <v>0.0369704672073059</v>
      </c>
      <c r="J2992" t="n">
        <v>0.1405542450230384</v>
      </c>
      <c r="K2992" t="n">
        <v>0.1559452731898943</v>
      </c>
      <c r="L2992" t="b">
        <v>0</v>
      </c>
      <c r="M2992" t="b">
        <v>0</v>
      </c>
      <c r="N2992" t="inlineStr">
        <is>
          <t>alt</t>
        </is>
      </c>
      <c r="O2992" t="n">
        <v>-75</v>
      </c>
      <c r="P2992" t="n">
        <v>0.03125</v>
      </c>
      <c r="Q2992" t="n">
        <v>-95</v>
      </c>
      <c r="R2992" t="n">
        <v>0.1263</v>
      </c>
      <c r="S2992">
        <f>IMAGE("https://mitra.stanford.edu/kundaje/oak/projects/neuro-variants/variant_position/credible/roussos_2024/variant_figures/roussos_2024.infant.GLU/rs59815841_count_position.png",4,220,900)</f>
        <v/>
      </c>
      <c r="T2992">
        <f>IMAGE("https://mitra.stanford.edu/kundaje/oak/projects/neuro-variants/variant_position/credible/roussos_2024/variant_figures/roussos_2024.infant.GLU/rs59815841_profile_position.png",4,220,900)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-0.03464810372</v>
      </c>
      <c r="G2993" t="n">
        <v>0.2768519652879462</v>
      </c>
      <c r="H2993" t="n">
        <v>0.0336799301325006</v>
      </c>
      <c r="I2993" t="n">
        <v>0.0391028030526515</v>
      </c>
      <c r="J2993" t="n">
        <v>0.0170175709341034</v>
      </c>
      <c r="K2993" t="n">
        <v>0.5704094034642938</v>
      </c>
      <c r="L2993" t="b">
        <v>0</v>
      </c>
      <c r="M2993" t="b">
        <v>0</v>
      </c>
      <c r="N2993" t="inlineStr">
        <is>
          <t>ref</t>
        </is>
      </c>
      <c r="O2993" t="n">
        <v>-20</v>
      </c>
      <c r="P2993" t="n">
        <v>0.02014</v>
      </c>
      <c r="Q2993" t="n">
        <v>-25</v>
      </c>
      <c r="R2993" t="n">
        <v>0.05322</v>
      </c>
      <c r="S2993">
        <f>IMAGE("https://mitra.stanford.edu/kundaje/oak/projects/neuro-variants/variant_position/credible/roussos_2024/variant_figures/roussos_2024.infant.GLU/rs7697283_count_position.png",4,220,900)</f>
        <v/>
      </c>
      <c r="T2993">
        <f>IMAGE("https://mitra.stanford.edu/kundaje/oak/projects/neuro-variants/variant_position/credible/roussos_2024/variant_figures/roussos_2024.infant.GLU/rs7697283_profile_position.png",4,220,900)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0.0457835502</v>
      </c>
      <c r="G2994" t="n">
        <v>0.1954313657373724</v>
      </c>
      <c r="H2994" t="n">
        <v>0.0120150140515941</v>
      </c>
      <c r="I2994" t="n">
        <v>0.5568090827908247</v>
      </c>
      <c r="J2994" t="n">
        <v>0.2635706254547058</v>
      </c>
      <c r="K2994" t="n">
        <v>0.07893978559282649</v>
      </c>
      <c r="L2994" t="b">
        <v>0</v>
      </c>
      <c r="M2994" t="b">
        <v>0</v>
      </c>
      <c r="N2994" t="inlineStr">
        <is>
          <t>alt</t>
        </is>
      </c>
      <c r="O2994" t="n">
        <v>-60</v>
      </c>
      <c r="P2994" t="n">
        <v>0.01083</v>
      </c>
      <c r="Q2994" t="n">
        <v>0</v>
      </c>
      <c r="R2994" t="n">
        <v>0</v>
      </c>
      <c r="S2994">
        <f>IMAGE("https://mitra.stanford.edu/kundaje/oak/projects/neuro-variants/variant_position/credible/roussos_2024/variant_figures/roussos_2024.infant.GLU/rs9784438_count_position.png",4,220,900)</f>
        <v/>
      </c>
      <c r="T2994">
        <f>IMAGE("https://mitra.stanford.edu/kundaje/oak/projects/neuro-variants/variant_position/credible/roussos_2024/variant_figures/roussos_2024.infant.GLU/rs9784438_profile_position.png",4,220,900)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0.0132978337</v>
      </c>
      <c r="G2995" t="n">
        <v>0.5583131481862589</v>
      </c>
      <c r="H2995" t="n">
        <v>0.0118813866717998</v>
      </c>
      <c r="I2995" t="n">
        <v>0.5658584670901733</v>
      </c>
      <c r="J2995" t="n">
        <v>0.011360479728389</v>
      </c>
      <c r="K2995" t="n">
        <v>0.6435893821783135</v>
      </c>
      <c r="L2995" t="b">
        <v>0</v>
      </c>
      <c r="M2995" t="b">
        <v>0</v>
      </c>
      <c r="N2995" t="inlineStr">
        <is>
          <t>alt</t>
        </is>
      </c>
      <c r="O2995" t="n">
        <v>-70</v>
      </c>
      <c r="P2995" t="n">
        <v>0.0168</v>
      </c>
      <c r="Q2995" t="n">
        <v>45</v>
      </c>
      <c r="R2995" t="n">
        <v>0.08093</v>
      </c>
      <c r="S2995">
        <f>IMAGE("https://mitra.stanford.edu/kundaje/oak/projects/neuro-variants/variant_position/credible/roussos_2024/variant_figures/roussos_2024.infant.GLU/rs7434297_count_position.png",4,220,900)</f>
        <v/>
      </c>
      <c r="T2995">
        <f>IMAGE("https://mitra.stanford.edu/kundaje/oak/projects/neuro-variants/variant_position/credible/roussos_2024/variant_figures/roussos_2024.infant.GLU/rs7434297_profile_position.png",4,220,900)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-0.01687630192</v>
      </c>
      <c r="G2996" t="n">
        <v>0.5004268165252354</v>
      </c>
      <c r="H2996" t="n">
        <v>0.0396446555452121</v>
      </c>
      <c r="I2996" t="n">
        <v>0.0211349442856515</v>
      </c>
      <c r="J2996" t="n">
        <v>0.0586509843691439</v>
      </c>
      <c r="K2996" t="n">
        <v>0.3273636336996868</v>
      </c>
      <c r="L2996" t="b">
        <v>0</v>
      </c>
      <c r="M2996" t="b">
        <v>0</v>
      </c>
      <c r="N2996" t="inlineStr">
        <is>
          <t>ref</t>
        </is>
      </c>
      <c r="O2996" t="n">
        <v>40</v>
      </c>
      <c r="P2996" t="n">
        <v>0.00708</v>
      </c>
      <c r="Q2996" t="n">
        <v>15</v>
      </c>
      <c r="R2996" t="n">
        <v>0.02747</v>
      </c>
      <c r="S2996">
        <f>IMAGE("https://mitra.stanford.edu/kundaje/oak/projects/neuro-variants/variant_position/credible/roussos_2024/variant_figures/roussos_2024.infant.GLU/rs13146507_count_position.png",4,220,900)</f>
        <v/>
      </c>
      <c r="T2996">
        <f>IMAGE("https://mitra.stanford.edu/kundaje/oak/projects/neuro-variants/variant_position/credible/roussos_2024/variant_figures/roussos_2024.infant.GLU/rs13146507_profile_position.png",4,220,900)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-0.0127414566</v>
      </c>
      <c r="G2997" t="n">
        <v>0.5792954462988139</v>
      </c>
      <c r="H2997" t="n">
        <v>0.027523491806502</v>
      </c>
      <c r="I2997" t="n">
        <v>0.076140055117542</v>
      </c>
      <c r="J2997" t="n">
        <v>0.0706133292180162</v>
      </c>
      <c r="K2997" t="n">
        <v>0.2756105602883595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0.178</v>
      </c>
      <c r="Q2997" t="n">
        <v>100</v>
      </c>
      <c r="R2997" t="n">
        <v>0.0833</v>
      </c>
      <c r="S2997">
        <f>IMAGE("https://mitra.stanford.edu/kundaje/oak/projects/neuro-variants/variant_position/credible/roussos_2024/variant_figures/roussos_2024.infant.GLU/rs77453134_count_position.png",4,220,900)</f>
        <v/>
      </c>
      <c r="T2997">
        <f>IMAGE("https://mitra.stanford.edu/kundaje/oak/projects/neuro-variants/variant_position/credible/roussos_2024/variant_figures/roussos_2024.infant.GLU/rs77453134_profile_position.png",4,220,900)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0.1298652608</v>
      </c>
      <c r="G2998" t="n">
        <v>0.0296593446208185</v>
      </c>
      <c r="H2998" t="n">
        <v>0.0151106154481849</v>
      </c>
      <c r="I2998" t="n">
        <v>0.3561575186012409</v>
      </c>
      <c r="J2998" t="n">
        <v>0.1500914923168499</v>
      </c>
      <c r="K2998" t="n">
        <v>0.1473211221374062</v>
      </c>
      <c r="L2998" t="b">
        <v>0</v>
      </c>
      <c r="M2998" t="b">
        <v>0</v>
      </c>
      <c r="N2998" t="inlineStr">
        <is>
          <t>alt</t>
        </is>
      </c>
      <c r="O2998" t="n">
        <v>100</v>
      </c>
      <c r="P2998" t="n">
        <v>0.0321</v>
      </c>
      <c r="Q2998" t="n">
        <v>-85</v>
      </c>
      <c r="R2998" t="n">
        <v>0.01099</v>
      </c>
      <c r="S2998">
        <f>IMAGE("https://mitra.stanford.edu/kundaje/oak/projects/neuro-variants/variant_position/credible/roussos_2024/variant_figures/roussos_2024.infant.GLU/rs10019288_count_position.png",4,220,900)</f>
        <v/>
      </c>
      <c r="T2998">
        <f>IMAGE("https://mitra.stanford.edu/kundaje/oak/projects/neuro-variants/variant_position/credible/roussos_2024/variant_figures/roussos_2024.infant.GLU/rs10019288_profile_position.png",4,220,900)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-0.0969505129999999</v>
      </c>
      <c r="G2999" t="n">
        <v>0.0570005608873209</v>
      </c>
      <c r="H2999" t="n">
        <v>0.0290997522270074</v>
      </c>
      <c r="I2999" t="n">
        <v>0.0645841406387145</v>
      </c>
      <c r="J2999" t="n">
        <v>0.0121629665557</v>
      </c>
      <c r="K2999" t="n">
        <v>0.6269982920135421</v>
      </c>
      <c r="L2999" t="b">
        <v>0</v>
      </c>
      <c r="M2999" t="b">
        <v>0</v>
      </c>
      <c r="N2999" t="inlineStr">
        <is>
          <t>ref</t>
        </is>
      </c>
      <c r="O2999" t="n">
        <v>100</v>
      </c>
      <c r="P2999" t="n">
        <v>0.00392</v>
      </c>
      <c r="Q2999" t="n">
        <v>-90</v>
      </c>
      <c r="R2999" t="n">
        <v>0.1184</v>
      </c>
      <c r="S2999">
        <f>IMAGE("https://mitra.stanford.edu/kundaje/oak/projects/neuro-variants/variant_position/credible/roussos_2024/variant_figures/roussos_2024.infant.GLU/rs13102895_count_position.png",4,220,900)</f>
        <v/>
      </c>
      <c r="T2999">
        <f>IMAGE("https://mitra.stanford.edu/kundaje/oak/projects/neuro-variants/variant_position/credible/roussos_2024/variant_figures/roussos_2024.infant.GLU/rs13102895_profile_position.png",4,220,900)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-0.0147359711999999</v>
      </c>
      <c r="G3000" t="n">
        <v>0.5346104225176763</v>
      </c>
      <c r="H3000" t="n">
        <v>0.0343245119801931</v>
      </c>
      <c r="I3000" t="n">
        <v>0.0366642728522125</v>
      </c>
      <c r="J3000" t="n">
        <v>0.0053440331576974</v>
      </c>
      <c r="K3000" t="n">
        <v>0.7465529260196202</v>
      </c>
      <c r="L3000" t="b">
        <v>0</v>
      </c>
      <c r="M3000" t="b">
        <v>0</v>
      </c>
      <c r="N3000" t="inlineStr">
        <is>
          <t>ref</t>
        </is>
      </c>
      <c r="O3000" t="n">
        <v>-90</v>
      </c>
      <c r="P3000" t="n">
        <v>0.013</v>
      </c>
      <c r="Q3000" t="n">
        <v>-100</v>
      </c>
      <c r="R3000" t="n">
        <v>0.02945</v>
      </c>
      <c r="S3000">
        <f>IMAGE("https://mitra.stanford.edu/kundaje/oak/projects/neuro-variants/variant_position/credible/roussos_2024/variant_figures/roussos_2024.infant.GLU/rs7435170_count_position.png",4,220,900)</f>
        <v/>
      </c>
      <c r="T3000">
        <f>IMAGE("https://mitra.stanford.edu/kundaje/oak/projects/neuro-variants/variant_position/credible/roussos_2024/variant_figures/roussos_2024.infant.GLU/rs7435170_profile_position.png",4,220,900)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0.0509884246</v>
      </c>
      <c r="G3001" t="n">
        <v>0.1603879239142485</v>
      </c>
      <c r="H3001" t="n">
        <v>0.013668320598263</v>
      </c>
      <c r="I3001" t="n">
        <v>0.4403216394845485</v>
      </c>
      <c r="J3001" t="n">
        <v>0.3570603408364382</v>
      </c>
      <c r="K3001" t="n">
        <v>0.0535997598091211</v>
      </c>
      <c r="L3001" t="b">
        <v>0</v>
      </c>
      <c r="M3001" t="b">
        <v>0</v>
      </c>
      <c r="N3001" t="inlineStr">
        <is>
          <t>alt</t>
        </is>
      </c>
      <c r="O3001" t="n">
        <v>-10</v>
      </c>
      <c r="P3001" t="n">
        <v>0.003479</v>
      </c>
      <c r="Q3001" t="n">
        <v>40</v>
      </c>
      <c r="R3001" t="n">
        <v>0.0718</v>
      </c>
      <c r="S3001">
        <f>IMAGE("https://mitra.stanford.edu/kundaje/oak/projects/neuro-variants/variant_position/credible/roussos_2024/variant_figures/roussos_2024.infant.GLU/rs7435994_count_position.png",4,220,900)</f>
        <v/>
      </c>
      <c r="T3001">
        <f>IMAGE("https://mitra.stanford.edu/kundaje/oak/projects/neuro-variants/variant_position/credible/roussos_2024/variant_figures/roussos_2024.infant.GLU/rs7435994_profile_position.png",4,220,900)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0.0180207276</v>
      </c>
      <c r="G3002" t="n">
        <v>0.3179218473672183</v>
      </c>
      <c r="H3002" t="n">
        <v>0.0158533908919797</v>
      </c>
      <c r="I3002" t="n">
        <v>0.3197994784686096</v>
      </c>
      <c r="J3002" t="n">
        <v>0.3258713816442161</v>
      </c>
      <c r="K3002" t="n">
        <v>0.0611262488257241</v>
      </c>
      <c r="L3002" t="b">
        <v>0</v>
      </c>
      <c r="M3002" t="b">
        <v>0</v>
      </c>
      <c r="N3002" t="inlineStr">
        <is>
          <t>alt</t>
        </is>
      </c>
      <c r="O3002" t="n">
        <v>-10</v>
      </c>
      <c r="P3002" t="n">
        <v>0.002686</v>
      </c>
      <c r="Q3002" t="n">
        <v>0</v>
      </c>
      <c r="R3002" t="n">
        <v>0</v>
      </c>
      <c r="S3002">
        <f>IMAGE("https://mitra.stanford.edu/kundaje/oak/projects/neuro-variants/variant_position/credible/roussos_2024/variant_figures/roussos_2024.infant.GLU/rs28581574_count_position.png",4,220,900)</f>
        <v/>
      </c>
      <c r="T3002">
        <f>IMAGE("https://mitra.stanford.edu/kundaje/oak/projects/neuro-variants/variant_position/credible/roussos_2024/variant_figures/roussos_2024.infant.GLU/rs28581574_profile_position.png",4,220,900)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0.0211333752</v>
      </c>
      <c r="G3003" t="n">
        <v>0.3212461614754148</v>
      </c>
      <c r="H3003" t="n">
        <v>0.0341127902892737</v>
      </c>
      <c r="I3003" t="n">
        <v>0.037253397294357</v>
      </c>
      <c r="J3003" t="n">
        <v>0.0285114310280208</v>
      </c>
      <c r="K3003" t="n">
        <v>0.4638591952516257</v>
      </c>
      <c r="L3003" t="b">
        <v>0</v>
      </c>
      <c r="M3003" t="b">
        <v>0</v>
      </c>
      <c r="N3003" t="inlineStr">
        <is>
          <t>alt</t>
        </is>
      </c>
      <c r="O3003" t="n">
        <v>50</v>
      </c>
      <c r="P3003" t="n">
        <v>0.003418</v>
      </c>
      <c r="Q3003" t="n">
        <v>25</v>
      </c>
      <c r="R3003" t="n">
        <v>0.01703</v>
      </c>
      <c r="S3003">
        <f>IMAGE("https://mitra.stanford.edu/kundaje/oak/projects/neuro-variants/variant_position/credible/roussos_2024/variant_figures/roussos_2024.infant.GLU/rs35684722_count_position.png",4,220,900)</f>
        <v/>
      </c>
      <c r="T3003">
        <f>IMAGE("https://mitra.stanford.edu/kundaje/oak/projects/neuro-variants/variant_position/credible/roussos_2024/variant_figures/roussos_2024.infant.GLU/rs35684722_profile_position.png",4,220,900)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-0.0441881594</v>
      </c>
      <c r="G3004" t="n">
        <v>0.2045036052825826</v>
      </c>
      <c r="H3004" t="n">
        <v>0.011578836006286</v>
      </c>
      <c r="I3004" t="n">
        <v>0.5890220970681492</v>
      </c>
      <c r="J3004" t="n">
        <v>0.010528230340175</v>
      </c>
      <c r="K3004" t="n">
        <v>0.6473658246563054</v>
      </c>
      <c r="L3004" t="b">
        <v>0</v>
      </c>
      <c r="M3004" t="b">
        <v>0</v>
      </c>
      <c r="N3004" t="inlineStr">
        <is>
          <t>ref</t>
        </is>
      </c>
      <c r="O3004" t="n">
        <v>-95</v>
      </c>
      <c r="P3004" t="n">
        <v>0.00692</v>
      </c>
      <c r="Q3004" t="n">
        <v>95</v>
      </c>
      <c r="R3004" t="n">
        <v>0.09619999999999999</v>
      </c>
      <c r="S3004">
        <f>IMAGE("https://mitra.stanford.edu/kundaje/oak/projects/neuro-variants/variant_position/credible/roussos_2024/variant_figures/roussos_2024.infant.GLU/rs58186080_count_position.png",4,220,900)</f>
        <v/>
      </c>
      <c r="T3004">
        <f>IMAGE("https://mitra.stanford.edu/kundaje/oak/projects/neuro-variants/variant_position/credible/roussos_2024/variant_figures/roussos_2024.infant.GLU/rs58186080_profile_position.png",4,220,900)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-0.0581318824</v>
      </c>
      <c r="G3005" t="n">
        <v>0.1587356634068024</v>
      </c>
      <c r="H3005" t="n">
        <v>0.010792124747967</v>
      </c>
      <c r="I3005" t="n">
        <v>0.6632645532320546</v>
      </c>
      <c r="J3005" t="n">
        <v>0.0959820542780925</v>
      </c>
      <c r="K3005" t="n">
        <v>0.2217393882809398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0.007683</v>
      </c>
      <c r="Q3005" t="n">
        <v>95</v>
      </c>
      <c r="R3005" t="n">
        <v>0.12427</v>
      </c>
      <c r="S3005">
        <f>IMAGE("https://mitra.stanford.edu/kundaje/oak/projects/neuro-variants/variant_position/credible/roussos_2024/variant_figures/roussos_2024.infant.GLU/rs10028563_count_position.png",4,220,900)</f>
        <v/>
      </c>
      <c r="T3005">
        <f>IMAGE("https://mitra.stanford.edu/kundaje/oak/projects/neuro-variants/variant_position/credible/roussos_2024/variant_figures/roussos_2024.infant.GLU/rs10028563_profile_position.png",4,220,900)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0.028866126248</v>
      </c>
      <c r="G3006" t="n">
        <v>0.3463594165284409</v>
      </c>
      <c r="H3006" t="n">
        <v>0.0097436705296047</v>
      </c>
      <c r="I3006" t="n">
        <v>0.7358974755779761</v>
      </c>
      <c r="J3006" t="n">
        <v>0.0114806322890716</v>
      </c>
      <c r="K3006" t="n">
        <v>0.6727476089804686</v>
      </c>
      <c r="L3006" t="b">
        <v>0</v>
      </c>
      <c r="M3006" t="b">
        <v>0</v>
      </c>
      <c r="N3006" t="inlineStr">
        <is>
          <t>alt</t>
        </is>
      </c>
      <c r="O3006" t="n">
        <v>100</v>
      </c>
      <c r="P3006" t="n">
        <v>0.01402</v>
      </c>
      <c r="Q3006" t="n">
        <v>-100</v>
      </c>
      <c r="R3006" t="n">
        <v>0.06805</v>
      </c>
      <c r="S3006">
        <f>IMAGE("https://mitra.stanford.edu/kundaje/oak/projects/neuro-variants/variant_position/credible/roussos_2024/variant_figures/roussos_2024.infant.GLU/rs6531299_count_position.png",4,220,900)</f>
        <v/>
      </c>
      <c r="T3006">
        <f>IMAGE("https://mitra.stanford.edu/kundaje/oak/projects/neuro-variants/variant_position/credible/roussos_2024/variant_figures/roussos_2024.infant.GLU/rs6531299_profile_position.png",4,220,900)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0.0213998208</v>
      </c>
      <c r="G3007" t="n">
        <v>0.4135220663042812</v>
      </c>
      <c r="H3007" t="n">
        <v>0.0333301439409341</v>
      </c>
      <c r="I3007" t="n">
        <v>0.0405581026004124</v>
      </c>
      <c r="J3007" t="n">
        <v>0.0182863378822283</v>
      </c>
      <c r="K3007" t="n">
        <v>0.560046694865886</v>
      </c>
      <c r="L3007" t="b">
        <v>0</v>
      </c>
      <c r="M3007" t="b">
        <v>0</v>
      </c>
      <c r="N3007" t="inlineStr">
        <is>
          <t>alt</t>
        </is>
      </c>
      <c r="O3007" t="n">
        <v>-15</v>
      </c>
      <c r="P3007" t="n">
        <v>0.002113</v>
      </c>
      <c r="Q3007" t="n">
        <v>-85</v>
      </c>
      <c r="R3007" t="n">
        <v>0.12317</v>
      </c>
      <c r="S3007">
        <f>IMAGE("https://mitra.stanford.edu/kundaje/oak/projects/neuro-variants/variant_position/credible/roussos_2024/variant_figures/roussos_2024.infant.GLU/rs67368133_count_position.png",4,220,900)</f>
        <v/>
      </c>
      <c r="T3007">
        <f>IMAGE("https://mitra.stanford.edu/kundaje/oak/projects/neuro-variants/variant_position/credible/roussos_2024/variant_figures/roussos_2024.infant.GLU/rs67368133_profile_position.png",4,220,900)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-0.0431935678</v>
      </c>
      <c r="G3008" t="n">
        <v>0.2068349319352547</v>
      </c>
      <c r="H3008" t="n">
        <v>0.0297272839577563</v>
      </c>
      <c r="I3008" t="n">
        <v>0.0594105802378365</v>
      </c>
      <c r="J3008" t="n">
        <v>0.015221896426288</v>
      </c>
      <c r="K3008" t="n">
        <v>0.6051252398964242</v>
      </c>
      <c r="L3008" t="b">
        <v>0</v>
      </c>
      <c r="M3008" t="b">
        <v>0</v>
      </c>
      <c r="N3008" t="inlineStr">
        <is>
          <t>ref</t>
        </is>
      </c>
      <c r="O3008" t="n">
        <v>-90</v>
      </c>
      <c r="P3008" t="n">
        <v>0.01822</v>
      </c>
      <c r="Q3008" t="n">
        <v>-75</v>
      </c>
      <c r="R3008" t="n">
        <v>0.07214</v>
      </c>
      <c r="S3008">
        <f>IMAGE("https://mitra.stanford.edu/kundaje/oak/projects/neuro-variants/variant_position/credible/roussos_2024/variant_figures/roussos_2024.infant.GLU/rs6834907_count_position.png",4,220,900)</f>
        <v/>
      </c>
      <c r="T3008">
        <f>IMAGE("https://mitra.stanford.edu/kundaje/oak/projects/neuro-variants/variant_position/credible/roussos_2024/variant_figures/roussos_2024.infant.GLU/rs6834907_profile_position.png",4,220,900)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0.0744940008</v>
      </c>
      <c r="G3009" t="n">
        <v>0.0865402231820617</v>
      </c>
      <c r="H3009" t="n">
        <v>0.0141591533518927</v>
      </c>
      <c r="I3009" t="n">
        <v>0.4149569468283954</v>
      </c>
      <c r="J3009" t="n">
        <v>0.148205427809255</v>
      </c>
      <c r="K3009" t="n">
        <v>0.1457926983845097</v>
      </c>
      <c r="L3009" t="b">
        <v>0</v>
      </c>
      <c r="M3009" t="b">
        <v>0</v>
      </c>
      <c r="N3009" t="inlineStr">
        <is>
          <t>alt</t>
        </is>
      </c>
      <c r="O3009" t="n">
        <v>-85</v>
      </c>
      <c r="P3009" t="n">
        <v>0.00534</v>
      </c>
      <c r="Q3009" t="n">
        <v>-95</v>
      </c>
      <c r="R3009" t="n">
        <v>0.2415</v>
      </c>
      <c r="S3009">
        <f>IMAGE("https://mitra.stanford.edu/kundaje/oak/projects/neuro-variants/variant_position/credible/roussos_2024/variant_figures/roussos_2024.infant.GLU/rs13110566_count_position.png",4,220,900)</f>
        <v/>
      </c>
      <c r="T3009">
        <f>IMAGE("https://mitra.stanford.edu/kundaje/oak/projects/neuro-variants/variant_position/credible/roussos_2024/variant_figures/roussos_2024.infant.GLU/rs13110566_profile_position.png",4,220,900)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0.0349175058</v>
      </c>
      <c r="G3010" t="n">
        <v>0.2678742213932986</v>
      </c>
      <c r="H3010" t="n">
        <v>0.0118286787844302</v>
      </c>
      <c r="I3010" t="n">
        <v>0.5739762585151738</v>
      </c>
      <c r="J3010" t="n">
        <v>0.0056383518155161</v>
      </c>
      <c r="K3010" t="n">
        <v>0.7584941576652093</v>
      </c>
      <c r="L3010" t="b">
        <v>0</v>
      </c>
      <c r="M3010" t="b">
        <v>0</v>
      </c>
      <c r="N3010" t="inlineStr">
        <is>
          <t>alt</t>
        </is>
      </c>
      <c r="O3010" t="n">
        <v>-15</v>
      </c>
      <c r="P3010" t="n">
        <v>0.001606</v>
      </c>
      <c r="Q3010" t="n">
        <v>-95</v>
      </c>
      <c r="R3010" t="n">
        <v>0.05035</v>
      </c>
      <c r="S3010">
        <f>IMAGE("https://mitra.stanford.edu/kundaje/oak/projects/neuro-variants/variant_position/credible/roussos_2024/variant_figures/roussos_2024.infant.GLU/rs34522421_count_position.png",4,220,900)</f>
        <v/>
      </c>
      <c r="T3010">
        <f>IMAGE("https://mitra.stanford.edu/kundaje/oak/projects/neuro-variants/variant_position/credible/roussos_2024/variant_figures/roussos_2024.infant.GLU/rs34522421_profile_position.png",4,220,900)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-0.0491773566</v>
      </c>
      <c r="G3011" t="n">
        <v>0.1716155592062932</v>
      </c>
      <c r="H3011" t="n">
        <v>0.0138335053175578</v>
      </c>
      <c r="I3011" t="n">
        <v>0.4345122997064477</v>
      </c>
      <c r="J3011" t="n">
        <v>0.0211490553142705</v>
      </c>
      <c r="K3011" t="n">
        <v>0.5207670750940229</v>
      </c>
      <c r="L3011" t="b">
        <v>0</v>
      </c>
      <c r="M3011" t="b">
        <v>0</v>
      </c>
      <c r="N3011" t="inlineStr">
        <is>
          <t>ref</t>
        </is>
      </c>
      <c r="O3011" t="n">
        <v>-60</v>
      </c>
      <c r="P3011" t="n">
        <v>0.005272</v>
      </c>
      <c r="Q3011" t="n">
        <v>100</v>
      </c>
      <c r="R3011" t="n">
        <v>0.1489</v>
      </c>
      <c r="S3011">
        <f>IMAGE("https://mitra.stanford.edu/kundaje/oak/projects/neuro-variants/variant_position/credible/roussos_2024/variant_figures/roussos_2024.infant.GLU/rs7683171_count_position.png",4,220,900)</f>
        <v/>
      </c>
      <c r="T3011">
        <f>IMAGE("https://mitra.stanford.edu/kundaje/oak/projects/neuro-variants/variant_position/credible/roussos_2024/variant_figures/roussos_2024.infant.GLU/rs7683171_profile_position.png",4,220,900)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-0.11631589</v>
      </c>
      <c r="G3012" t="n">
        <v>0.0380203965933186</v>
      </c>
      <c r="H3012" t="n">
        <v>0.0230218429207508</v>
      </c>
      <c r="I3012" t="n">
        <v>0.1265440897830281</v>
      </c>
      <c r="J3012" t="n">
        <v>0.0489527987830418</v>
      </c>
      <c r="K3012" t="n">
        <v>0.3477172363962657</v>
      </c>
      <c r="L3012" t="b">
        <v>0</v>
      </c>
      <c r="M3012" t="b">
        <v>0</v>
      </c>
      <c r="N3012" t="inlineStr">
        <is>
          <t>ref</t>
        </is>
      </c>
      <c r="O3012" t="n">
        <v>100</v>
      </c>
      <c r="P3012" t="n">
        <v>0.01816</v>
      </c>
      <c r="Q3012" t="n">
        <v>-55</v>
      </c>
      <c r="R3012" t="n">
        <v>0.04517</v>
      </c>
      <c r="S3012">
        <f>IMAGE("https://mitra.stanford.edu/kundaje/oak/projects/neuro-variants/variant_position/credible/roussos_2024/variant_figures/roussos_2024.infant.GLU/rs34250047_count_position.png",4,220,900)</f>
        <v/>
      </c>
      <c r="T3012">
        <f>IMAGE("https://mitra.stanford.edu/kundaje/oak/projects/neuro-variants/variant_position/credible/roussos_2024/variant_figures/roussos_2024.infant.GLU/rs34250047_profile_position.png",4,220,900)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0.0714985226</v>
      </c>
      <c r="G3013" t="n">
        <v>0.092844914882278</v>
      </c>
      <c r="H3013" t="n">
        <v>0.0154168209242561</v>
      </c>
      <c r="I3013" t="n">
        <v>0.344376173212278</v>
      </c>
      <c r="J3013" t="n">
        <v>0.008344540223549799</v>
      </c>
      <c r="K3013" t="n">
        <v>0.6860274315394257</v>
      </c>
      <c r="L3013" t="b">
        <v>0</v>
      </c>
      <c r="M3013" t="b">
        <v>0</v>
      </c>
      <c r="N3013" t="inlineStr">
        <is>
          <t>alt</t>
        </is>
      </c>
      <c r="O3013" t="n">
        <v>-100</v>
      </c>
      <c r="P3013" t="n">
        <v>0.01277</v>
      </c>
      <c r="Q3013" t="n">
        <v>85</v>
      </c>
      <c r="R3013" t="n">
        <v>0.03674</v>
      </c>
      <c r="S3013">
        <f>IMAGE("https://mitra.stanford.edu/kundaje/oak/projects/neuro-variants/variant_position/credible/roussos_2024/variant_figures/roussos_2024.infant.GLU/rs28731006_count_position.png",4,220,900)</f>
        <v/>
      </c>
      <c r="T3013">
        <f>IMAGE("https://mitra.stanford.edu/kundaje/oak/projects/neuro-variants/variant_position/credible/roussos_2024/variant_figures/roussos_2024.infant.GLU/rs28731006_profile_position.png",4,220,900)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-0.097687142</v>
      </c>
      <c r="G3014" t="n">
        <v>0.0524380585087891</v>
      </c>
      <c r="H3014" t="n">
        <v>0.015521609024787</v>
      </c>
      <c r="I3014" t="n">
        <v>0.3339579288794368</v>
      </c>
      <c r="J3014" t="n">
        <v>0.09517626049957</v>
      </c>
      <c r="K3014" t="n">
        <v>0.217838506634365</v>
      </c>
      <c r="L3014" t="b">
        <v>0</v>
      </c>
      <c r="M3014" t="b">
        <v>0</v>
      </c>
      <c r="N3014" t="inlineStr">
        <is>
          <t>ref</t>
        </is>
      </c>
      <c r="O3014" t="n">
        <v>0</v>
      </c>
      <c r="P3014" t="n">
        <v>0</v>
      </c>
      <c r="Q3014" t="n">
        <v>0</v>
      </c>
      <c r="R3014" t="n">
        <v>0</v>
      </c>
      <c r="S3014">
        <f>IMAGE("https://mitra.stanford.edu/kundaje/oak/projects/neuro-variants/variant_position/credible/roussos_2024/variant_figures/roussos_2024.infant.GLU/rs34202234_count_position.png",4,220,900)</f>
        <v/>
      </c>
      <c r="T3014">
        <f>IMAGE("https://mitra.stanford.edu/kundaje/oak/projects/neuro-variants/variant_position/credible/roussos_2024/variant_figures/roussos_2024.infant.GLU/rs34202234_profile_position.png",4,220,900)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0.082937053</v>
      </c>
      <c r="G3015" t="n">
        <v>0.07991824110443729</v>
      </c>
      <c r="H3015" t="n">
        <v>0.0305772500029289</v>
      </c>
      <c r="I3015" t="n">
        <v>0.055719539517013</v>
      </c>
      <c r="J3015" t="n">
        <v>0.0675103066646089</v>
      </c>
      <c r="K3015" t="n">
        <v>0.2834692455544386</v>
      </c>
      <c r="L3015" t="b">
        <v>0</v>
      </c>
      <c r="M3015" t="b">
        <v>0</v>
      </c>
      <c r="N3015" t="inlineStr">
        <is>
          <t>alt</t>
        </is>
      </c>
      <c r="O3015" t="n">
        <v>10</v>
      </c>
      <c r="P3015" t="n">
        <v>0.006226</v>
      </c>
      <c r="Q3015" t="n">
        <v>-25</v>
      </c>
      <c r="R3015" t="n">
        <v>0.0945</v>
      </c>
      <c r="S3015">
        <f>IMAGE("https://mitra.stanford.edu/kundaje/oak/projects/neuro-variants/variant_position/credible/roussos_2024/variant_figures/roussos_2024.infant.GLU/rs4266314_count_position.png",4,220,900)</f>
        <v/>
      </c>
      <c r="T3015">
        <f>IMAGE("https://mitra.stanford.edu/kundaje/oak/projects/neuro-variants/variant_position/credible/roussos_2024/variant_figures/roussos_2024.infant.GLU/rs4266314_profile_position.png",4,220,900)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-0.0088235079799999</v>
      </c>
      <c r="G3016" t="n">
        <v>0.7000646504465174</v>
      </c>
      <c r="H3016" t="n">
        <v>0.0099523339609724</v>
      </c>
      <c r="I3016" t="n">
        <v>0.7383411429827411</v>
      </c>
      <c r="J3016" t="n">
        <v>0.019357790074737</v>
      </c>
      <c r="K3016" t="n">
        <v>0.556778867457289</v>
      </c>
      <c r="L3016" t="b">
        <v>0</v>
      </c>
      <c r="M3016" t="b">
        <v>0</v>
      </c>
      <c r="N3016" t="inlineStr">
        <is>
          <t>ref</t>
        </is>
      </c>
      <c r="O3016" t="n">
        <v>90</v>
      </c>
      <c r="P3016" t="n">
        <v>0.02971</v>
      </c>
      <c r="Q3016" t="n">
        <v>-100</v>
      </c>
      <c r="R3016" t="n">
        <v>0.1001</v>
      </c>
      <c r="S3016">
        <f>IMAGE("https://mitra.stanford.edu/kundaje/oak/projects/neuro-variants/variant_position/credible/roussos_2024/variant_figures/roussos_2024.infant.GLU/rs34352361_count_position.png",4,220,900)</f>
        <v/>
      </c>
      <c r="T3016">
        <f>IMAGE("https://mitra.stanford.edu/kundaje/oak/projects/neuro-variants/variant_position/credible/roussos_2024/variant_figures/roussos_2024.infant.GLU/rs34352361_profile_position.png",4,220,900)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0.0400340424</v>
      </c>
      <c r="G3017" t="n">
        <v>0.2255565184865762</v>
      </c>
      <c r="H3017" t="n">
        <v>0.013176976189166</v>
      </c>
      <c r="I3017" t="n">
        <v>0.4707240133842924</v>
      </c>
      <c r="J3017" t="n">
        <v>0.0469520933001168</v>
      </c>
      <c r="K3017" t="n">
        <v>0.3535844487571685</v>
      </c>
      <c r="L3017" t="b">
        <v>0</v>
      </c>
      <c r="M3017" t="b">
        <v>0</v>
      </c>
      <c r="N3017" t="inlineStr">
        <is>
          <t>alt</t>
        </is>
      </c>
      <c r="O3017" t="n">
        <v>-90</v>
      </c>
      <c r="P3017" t="n">
        <v>0.01941</v>
      </c>
      <c r="Q3017" t="n">
        <v>100</v>
      </c>
      <c r="R3017" t="n">
        <v>0.06134</v>
      </c>
      <c r="S3017">
        <f>IMAGE("https://mitra.stanford.edu/kundaje/oak/projects/neuro-variants/variant_position/credible/roussos_2024/variant_figures/roussos_2024.infant.GLU/rs35210319_count_position.png",4,220,900)</f>
        <v/>
      </c>
      <c r="T3017">
        <f>IMAGE("https://mitra.stanford.edu/kundaje/oak/projects/neuro-variants/variant_position/credible/roussos_2024/variant_figures/roussos_2024.infant.GLU/rs35210319_profile_position.png",4,220,900)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0.07711122719999999</v>
      </c>
      <c r="G3018" t="n">
        <v>0.0552619529924401</v>
      </c>
      <c r="H3018" t="n">
        <v>0.0150601939396286</v>
      </c>
      <c r="I3018" t="n">
        <v>0.3578868730538235</v>
      </c>
      <c r="J3018" t="n">
        <v>0.0138362838686919</v>
      </c>
      <c r="K3018" t="n">
        <v>0.6273760843483972</v>
      </c>
      <c r="L3018" t="b">
        <v>0</v>
      </c>
      <c r="M3018" t="b">
        <v>0</v>
      </c>
      <c r="N3018" t="inlineStr">
        <is>
          <t>alt</t>
        </is>
      </c>
      <c r="O3018" t="n">
        <v>-35</v>
      </c>
      <c r="P3018" t="n">
        <v>0.01276</v>
      </c>
      <c r="Q3018" t="n">
        <v>-30</v>
      </c>
      <c r="R3018" t="n">
        <v>0.09569999999999999</v>
      </c>
      <c r="S3018">
        <f>IMAGE("https://mitra.stanford.edu/kundaje/oak/projects/neuro-variants/variant_position/credible/roussos_2024/variant_figures/roussos_2024.infant.GLU/rs4645234_count_position.png",4,220,900)</f>
        <v/>
      </c>
      <c r="T3018">
        <f>IMAGE("https://mitra.stanford.edu/kundaje/oak/projects/neuro-variants/variant_position/credible/roussos_2024/variant_figures/roussos_2024.infant.GLU/rs4645234_profile_position.png",4,220,900)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-0.1450412656</v>
      </c>
      <c r="G3019" t="n">
        <v>0.0274788884173393</v>
      </c>
      <c r="H3019" t="n">
        <v>0.0176674261734845</v>
      </c>
      <c r="I3019" t="n">
        <v>0.2655608292131928</v>
      </c>
      <c r="J3019" t="n">
        <v>0.072601909213166</v>
      </c>
      <c r="K3019" t="n">
        <v>0.268565321974632</v>
      </c>
      <c r="L3019" t="b">
        <v>0</v>
      </c>
      <c r="M3019" t="b">
        <v>0</v>
      </c>
      <c r="N3019" t="inlineStr">
        <is>
          <t>ref</t>
        </is>
      </c>
      <c r="O3019" t="n">
        <v>100</v>
      </c>
      <c r="P3019" t="n">
        <v>0.010895</v>
      </c>
      <c r="Q3019" t="n">
        <v>-50</v>
      </c>
      <c r="R3019" t="n">
        <v>0.0597</v>
      </c>
      <c r="S3019">
        <f>IMAGE("https://mitra.stanford.edu/kundaje/oak/projects/neuro-variants/variant_position/credible/roussos_2024/variant_figures/roussos_2024.infant.GLU/rs6841728_count_position.png",4,220,900)</f>
        <v/>
      </c>
      <c r="T3019">
        <f>IMAGE("https://mitra.stanford.edu/kundaje/oak/projects/neuro-variants/variant_position/credible/roussos_2024/variant_figures/roussos_2024.infant.GLU/rs6841728_profile_position.png",4,220,900)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0.0036358464494</v>
      </c>
      <c r="G3020" t="n">
        <v>0.7652380382711137</v>
      </c>
      <c r="H3020" t="n">
        <v>0.007837571391698901</v>
      </c>
      <c r="I3020" t="n">
        <v>0.9136773373053052</v>
      </c>
      <c r="J3020" t="n">
        <v>0.0267951233492801</v>
      </c>
      <c r="K3020" t="n">
        <v>0.4916286408696118</v>
      </c>
      <c r="L3020" t="b">
        <v>0</v>
      </c>
      <c r="M3020" t="b">
        <v>0</v>
      </c>
      <c r="N3020" t="inlineStr">
        <is>
          <t>alt</t>
        </is>
      </c>
      <c r="O3020" t="n">
        <v>100</v>
      </c>
      <c r="P3020" t="n">
        <v>0.1727</v>
      </c>
      <c r="Q3020" t="n">
        <v>80</v>
      </c>
      <c r="R3020" t="n">
        <v>0.2079</v>
      </c>
      <c r="S3020">
        <f>IMAGE("https://mitra.stanford.edu/kundaje/oak/projects/neuro-variants/variant_position/credible/roussos_2024/variant_figures/roussos_2024.infant.GLU/rs9968413_count_position.png",4,220,900)</f>
        <v/>
      </c>
      <c r="T3020">
        <f>IMAGE("https://mitra.stanford.edu/kundaje/oak/projects/neuro-variants/variant_position/credible/roussos_2024/variant_figures/roussos_2024.infant.GLU/rs9968413_profile_position.png",4,220,900)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-0.008828239999999999</v>
      </c>
      <c r="G3021" t="n">
        <v>0.6959114154680262</v>
      </c>
      <c r="H3021" t="n">
        <v>0.0114051494903032</v>
      </c>
      <c r="I3021" t="n">
        <v>0.6059302369194103</v>
      </c>
      <c r="J3021" t="n">
        <v>0.0561784871800524</v>
      </c>
      <c r="K3021" t="n">
        <v>0.3182745414028301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0.1146</v>
      </c>
      <c r="Q3021" t="n">
        <v>100</v>
      </c>
      <c r="R3021" t="n">
        <v>0.06094</v>
      </c>
      <c r="S3021">
        <f>IMAGE("https://mitra.stanford.edu/kundaje/oak/projects/neuro-variants/variant_position/credible/roussos_2024/variant_figures/roussos_2024.infant.GLU/rs4547813_count_position.png",4,220,900)</f>
        <v/>
      </c>
      <c r="T3021">
        <f>IMAGE("https://mitra.stanford.edu/kundaje/oak/projects/neuro-variants/variant_position/credible/roussos_2024/variant_figures/roussos_2024.infant.GLU/rs4547813_profile_position.png",4,220,900)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-0.1376075642</v>
      </c>
      <c r="G3022" t="n">
        <v>0.0270646053565363</v>
      </c>
      <c r="H3022" t="n">
        <v>0.0230049736192436</v>
      </c>
      <c r="I3022" t="n">
        <v>0.1277079289236844</v>
      </c>
      <c r="J3022" t="n">
        <v>0.144931546109923</v>
      </c>
      <c r="K3022" t="n">
        <v>0.1511420354466701</v>
      </c>
      <c r="L3022" t="b">
        <v>0</v>
      </c>
      <c r="M3022" t="b">
        <v>0</v>
      </c>
      <c r="N3022" t="inlineStr">
        <is>
          <t>ref</t>
        </is>
      </c>
      <c r="O3022" t="n">
        <v>-70</v>
      </c>
      <c r="P3022" t="n">
        <v>0.02168</v>
      </c>
      <c r="Q3022" t="n">
        <v>25</v>
      </c>
      <c r="R3022" t="n">
        <v>0.05664</v>
      </c>
      <c r="S3022">
        <f>IMAGE("https://mitra.stanford.edu/kundaje/oak/projects/neuro-variants/variant_position/credible/roussos_2024/variant_figures/roussos_2024.infant.GLU/rs13131483_count_position.png",4,220,900)</f>
        <v/>
      </c>
      <c r="T3022">
        <f>IMAGE("https://mitra.stanford.edu/kundaje/oak/projects/neuro-variants/variant_position/credible/roussos_2024/variant_figures/roussos_2024.infant.GLU/rs13131483_profile_position.png",4,220,900)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-0.00321863507</v>
      </c>
      <c r="G3023" t="n">
        <v>0.8647350906817919</v>
      </c>
      <c r="H3023" t="n">
        <v>0.0224501032273402</v>
      </c>
      <c r="I3023" t="n">
        <v>0.1352745303971425</v>
      </c>
      <c r="J3023" t="n">
        <v>0.1748605568905839</v>
      </c>
      <c r="K3023" t="n">
        <v>0.1241582443605195</v>
      </c>
      <c r="L3023" t="b">
        <v>0</v>
      </c>
      <c r="M3023" t="b">
        <v>0</v>
      </c>
      <c r="N3023" t="inlineStr">
        <is>
          <t>ref</t>
        </is>
      </c>
      <c r="O3023" t="n">
        <v>75</v>
      </c>
      <c r="P3023" t="n">
        <v>0.02466</v>
      </c>
      <c r="Q3023" t="n">
        <v>80</v>
      </c>
      <c r="R3023" t="n">
        <v>0.3057</v>
      </c>
      <c r="S3023">
        <f>IMAGE("https://mitra.stanford.edu/kundaje/oak/projects/neuro-variants/variant_position/credible/roussos_2024/variant_figures/roussos_2024.infant.GLU/rs13118944_count_position.png",4,220,900)</f>
        <v/>
      </c>
      <c r="T3023">
        <f>IMAGE("https://mitra.stanford.edu/kundaje/oak/projects/neuro-variants/variant_position/credible/roussos_2024/variant_figures/roussos_2024.infant.GLU/rs13118944_profile_position.png",4,220,900)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-0.0832069398</v>
      </c>
      <c r="G3024" t="n">
        <v>0.0734740857537098</v>
      </c>
      <c r="H3024" t="n">
        <v>0.0145701406941306</v>
      </c>
      <c r="I3024" t="n">
        <v>0.3842424116151524</v>
      </c>
      <c r="J3024" t="n">
        <v>0.0537423664542868</v>
      </c>
      <c r="K3024" t="n">
        <v>0.3379739627393612</v>
      </c>
      <c r="L3024" t="b">
        <v>0</v>
      </c>
      <c r="M3024" t="b">
        <v>0</v>
      </c>
      <c r="N3024" t="inlineStr">
        <is>
          <t>ref</t>
        </is>
      </c>
      <c r="O3024" t="n">
        <v>-5</v>
      </c>
      <c r="P3024" t="n">
        <v>0.00537</v>
      </c>
      <c r="Q3024" t="n">
        <v>-60</v>
      </c>
      <c r="R3024" t="n">
        <v>0.05603</v>
      </c>
      <c r="S3024">
        <f>IMAGE("https://mitra.stanford.edu/kundaje/oak/projects/neuro-variants/variant_position/credible/roussos_2024/variant_figures/roussos_2024.infant.GLU/rs10010448_count_position.png",4,220,900)</f>
        <v/>
      </c>
      <c r="T3024">
        <f>IMAGE("https://mitra.stanford.edu/kundaje/oak/projects/neuro-variants/variant_position/credible/roussos_2024/variant_figures/roussos_2024.infant.GLU/rs10010448_profile_position.png",4,220,900)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-0.06343191919999989</v>
      </c>
      <c r="G3025" t="n">
        <v>0.1339497134713713</v>
      </c>
      <c r="H3025" t="n">
        <v>0.0110383354173155</v>
      </c>
      <c r="I3025" t="n">
        <v>0.6045043583310868</v>
      </c>
      <c r="J3025" t="n">
        <v>0.0190568575144953</v>
      </c>
      <c r="K3025" t="n">
        <v>0.5485742136983236</v>
      </c>
      <c r="L3025" t="b">
        <v>0</v>
      </c>
      <c r="M3025" t="b">
        <v>0</v>
      </c>
      <c r="N3025" t="inlineStr">
        <is>
          <t>ref</t>
        </is>
      </c>
      <c r="O3025" t="n">
        <v>-35</v>
      </c>
      <c r="P3025" t="n">
        <v>0.0512</v>
      </c>
      <c r="Q3025" t="n">
        <v>-55</v>
      </c>
      <c r="R3025" t="n">
        <v>0.05865</v>
      </c>
      <c r="S3025">
        <f>IMAGE("https://mitra.stanford.edu/kundaje/oak/projects/neuro-variants/variant_position/credible/roussos_2024/variant_figures/roussos_2024.infant.GLU/rs7672284_count_position.png",4,220,900)</f>
        <v/>
      </c>
      <c r="T3025">
        <f>IMAGE("https://mitra.stanford.edu/kundaje/oak/projects/neuro-variants/variant_position/credible/roussos_2024/variant_figures/roussos_2024.infant.GLU/rs7672284_profile_position.png",4,220,900)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-0.0305476614</v>
      </c>
      <c r="G3026" t="n">
        <v>0.3158643753731794</v>
      </c>
      <c r="H3026" t="n">
        <v>0.0118688970959674</v>
      </c>
      <c r="I3026" t="n">
        <v>0.5658794457408659</v>
      </c>
      <c r="J3026" t="n">
        <v>0.2626898741153905</v>
      </c>
      <c r="K3026" t="n">
        <v>0.08159580834275521</v>
      </c>
      <c r="L3026" t="b">
        <v>0</v>
      </c>
      <c r="M3026" t="b">
        <v>0</v>
      </c>
      <c r="N3026" t="inlineStr">
        <is>
          <t>ref</t>
        </is>
      </c>
      <c r="O3026" t="n">
        <v>-50</v>
      </c>
      <c r="P3026" t="n">
        <v>0.01784</v>
      </c>
      <c r="Q3026" t="n">
        <v>-30</v>
      </c>
      <c r="R3026" t="n">
        <v>0.2463</v>
      </c>
      <c r="S3026">
        <f>IMAGE("https://mitra.stanford.edu/kundaje/oak/projects/neuro-variants/variant_position/credible/roussos_2024/variant_figures/roussos_2024.infant.GLU/rs28668075_count_position.png",4,220,900)</f>
        <v/>
      </c>
      <c r="T3026">
        <f>IMAGE("https://mitra.stanford.edu/kundaje/oak/projects/neuro-variants/variant_position/credible/roussos_2024/variant_figures/roussos_2024.infant.GLU/rs28668075_profile_position.png",4,220,900)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0.0443007884</v>
      </c>
      <c r="G3027" t="n">
        <v>0.1923474831071514</v>
      </c>
      <c r="H3027" t="n">
        <v>0.0105430534194111</v>
      </c>
      <c r="I3027" t="n">
        <v>0.6912271572762878</v>
      </c>
      <c r="J3027" t="n">
        <v>0.1096210233911681</v>
      </c>
      <c r="K3027" t="n">
        <v>0.1949204518544573</v>
      </c>
      <c r="L3027" t="b">
        <v>0</v>
      </c>
      <c r="M3027" t="b">
        <v>0</v>
      </c>
      <c r="N3027" t="inlineStr">
        <is>
          <t>alt</t>
        </is>
      </c>
      <c r="O3027" t="n">
        <v>-80</v>
      </c>
      <c r="P3027" t="n">
        <v>0.00903</v>
      </c>
      <c r="Q3027" t="n">
        <v>65</v>
      </c>
      <c r="R3027" t="n">
        <v>0.155</v>
      </c>
      <c r="S3027">
        <f>IMAGE("https://mitra.stanford.edu/kundaje/oak/projects/neuro-variants/variant_position/credible/roussos_2024/variant_figures/roussos_2024.infant.GLU/rs919019_count_position.png",4,220,900)</f>
        <v/>
      </c>
      <c r="T3027">
        <f>IMAGE("https://mitra.stanford.edu/kundaje/oak/projects/neuro-variants/variant_position/credible/roussos_2024/variant_figures/roussos_2024.infant.GLU/rs919019_profile_position.png",4,220,900)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-0.081796854</v>
      </c>
      <c r="G3028" t="n">
        <v>0.0783135548877055</v>
      </c>
      <c r="H3028" t="n">
        <v>0.0450295762675853</v>
      </c>
      <c r="I3028" t="n">
        <v>0.0121493782535399</v>
      </c>
      <c r="J3028" t="n">
        <v>0.0379582883220529</v>
      </c>
      <c r="K3028" t="n">
        <v>0.4023333295027975</v>
      </c>
      <c r="L3028" t="b">
        <v>1</v>
      </c>
      <c r="M3028" t="b">
        <v>0</v>
      </c>
      <c r="N3028" t="inlineStr">
        <is>
          <t>ref</t>
        </is>
      </c>
      <c r="O3028" t="n">
        <v>85</v>
      </c>
      <c r="P3028" t="n">
        <v>0.007614</v>
      </c>
      <c r="Q3028" t="n">
        <v>-35</v>
      </c>
      <c r="R3028" t="n">
        <v>0.04443</v>
      </c>
      <c r="S3028">
        <f>IMAGE("https://mitra.stanford.edu/kundaje/oak/projects/neuro-variants/variant_position/credible/roussos_2024/variant_figures/roussos_2024.infant.GLU/rs919018_count_position.png",4,220,900)</f>
        <v/>
      </c>
      <c r="T3028">
        <f>IMAGE("https://mitra.stanford.edu/kundaje/oak/projects/neuro-variants/variant_position/credible/roussos_2024/variant_figures/roussos_2024.infant.GLU/rs919018_profile_position.png",4,220,900)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-0.0178390644</v>
      </c>
      <c r="G3029" t="n">
        <v>0.3733106669554304</v>
      </c>
      <c r="H3029" t="n">
        <v>0.0314634148956938</v>
      </c>
      <c r="I3029" t="n">
        <v>0.0491433470247731</v>
      </c>
      <c r="J3029" t="n">
        <v>0.0055766220595691</v>
      </c>
      <c r="K3029" t="n">
        <v>0.7578923727115064</v>
      </c>
      <c r="L3029" t="b">
        <v>0</v>
      </c>
      <c r="M3029" t="b">
        <v>0</v>
      </c>
      <c r="N3029" t="inlineStr">
        <is>
          <t>ref</t>
        </is>
      </c>
      <c r="O3029" t="n">
        <v>-85</v>
      </c>
      <c r="P3029" t="n">
        <v>0.0434</v>
      </c>
      <c r="Q3029" t="n">
        <v>-65</v>
      </c>
      <c r="R3029" t="n">
        <v>0.0234</v>
      </c>
      <c r="S3029">
        <f>IMAGE("https://mitra.stanford.edu/kundaje/oak/projects/neuro-variants/variant_position/credible/roussos_2024/variant_figures/roussos_2024.infant.GLU/rs35418312_count_position.png",4,220,900)</f>
        <v/>
      </c>
      <c r="T3029">
        <f>IMAGE("https://mitra.stanford.edu/kundaje/oak/projects/neuro-variants/variant_position/credible/roussos_2024/variant_figures/roussos_2024.infant.GLU/rs35418312_profile_position.png",4,220,900)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0.06816294940000001</v>
      </c>
      <c r="G3030" t="n">
        <v>0.1044916389534392</v>
      </c>
      <c r="H3030" t="n">
        <v>0.0546693295077699</v>
      </c>
      <c r="I3030" t="n">
        <v>0.0048914700087314</v>
      </c>
      <c r="J3030" t="n">
        <v>0.008292731321237199</v>
      </c>
      <c r="K3030" t="n">
        <v>0.7034947444051584</v>
      </c>
      <c r="L3030" t="b">
        <v>0</v>
      </c>
      <c r="M3030" t="b">
        <v>0</v>
      </c>
      <c r="N3030" t="inlineStr">
        <is>
          <t>alt</t>
        </is>
      </c>
      <c r="O3030" t="n">
        <v>-95</v>
      </c>
      <c r="P3030" t="n">
        <v>0.03265</v>
      </c>
      <c r="Q3030" t="n">
        <v>-50</v>
      </c>
      <c r="R3030" t="n">
        <v>0.0293</v>
      </c>
      <c r="S3030">
        <f>IMAGE("https://mitra.stanford.edu/kundaje/oak/projects/neuro-variants/variant_position/credible/roussos_2024/variant_figures/roussos_2024.infant.GLU/rs13135298_count_position.png",4,220,900)</f>
        <v/>
      </c>
      <c r="T3030">
        <f>IMAGE("https://mitra.stanford.edu/kundaje/oak/projects/neuro-variants/variant_position/credible/roussos_2024/variant_figures/roussos_2024.infant.GLU/rs13135298_profile_position.png",4,220,900)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-0.0960350159999999</v>
      </c>
      <c r="G3031" t="n">
        <v>0.0583163265149543</v>
      </c>
      <c r="H3031" t="n">
        <v>0.0216461972569548</v>
      </c>
      <c r="I3031" t="n">
        <v>0.1545049140976835</v>
      </c>
      <c r="J3031" t="n">
        <v>0.0150499349632927</v>
      </c>
      <c r="K3031" t="n">
        <v>0.5974158381002262</v>
      </c>
      <c r="L3031" t="b">
        <v>0</v>
      </c>
      <c r="M3031" t="b">
        <v>0</v>
      </c>
      <c r="N3031" t="inlineStr">
        <is>
          <t>ref</t>
        </is>
      </c>
      <c r="O3031" t="n">
        <v>100</v>
      </c>
      <c r="P3031" t="n">
        <v>0.10724</v>
      </c>
      <c r="Q3031" t="n">
        <v>-55</v>
      </c>
      <c r="R3031" t="n">
        <v>0.17</v>
      </c>
      <c r="S3031">
        <f>IMAGE("https://mitra.stanford.edu/kundaje/oak/projects/neuro-variants/variant_position/credible/roussos_2024/variant_figures/roussos_2024.infant.GLU/rs61262296_count_position.png",4,220,900)</f>
        <v/>
      </c>
      <c r="T3031">
        <f>IMAGE("https://mitra.stanford.edu/kundaje/oak/projects/neuro-variants/variant_position/credible/roussos_2024/variant_figures/roussos_2024.infant.GLU/rs61262296_profile_position.png",4,220,900)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-0.01626748274</v>
      </c>
      <c r="G3032" t="n">
        <v>0.5235717250747342</v>
      </c>
      <c r="H3032" t="n">
        <v>0.0417234621110312</v>
      </c>
      <c r="I3032" t="n">
        <v>0.0171365500935752</v>
      </c>
      <c r="J3032" t="n">
        <v>0.0276483167618333</v>
      </c>
      <c r="K3032" t="n">
        <v>0.4738231532923651</v>
      </c>
      <c r="L3032" t="b">
        <v>1</v>
      </c>
      <c r="M3032" t="b">
        <v>0</v>
      </c>
      <c r="N3032" t="inlineStr">
        <is>
          <t>ref</t>
        </is>
      </c>
      <c r="O3032" t="n">
        <v>100</v>
      </c>
      <c r="P3032" t="n">
        <v>0.001404</v>
      </c>
      <c r="Q3032" t="n">
        <v>100</v>
      </c>
      <c r="R3032" t="n">
        <v>0.2698</v>
      </c>
      <c r="S3032">
        <f>IMAGE("https://mitra.stanford.edu/kundaje/oak/projects/neuro-variants/variant_position/credible/roussos_2024/variant_figures/roussos_2024.infant.GLU/rs7685673_count_position.png",4,220,900)</f>
        <v/>
      </c>
      <c r="T3032">
        <f>IMAGE("https://mitra.stanford.edu/kundaje/oak/projects/neuro-variants/variant_position/credible/roussos_2024/variant_figures/roussos_2024.infant.GLU/rs7685673_profile_position.png",4,220,900)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-0.0347744804</v>
      </c>
      <c r="G3033" t="n">
        <v>0.2715545930690689</v>
      </c>
      <c r="H3033" t="n">
        <v>0.0194455359747419</v>
      </c>
      <c r="I3033" t="n">
        <v>0.1962738177576452</v>
      </c>
      <c r="J3033" t="n">
        <v>0.3502976256090301</v>
      </c>
      <c r="K3033" t="n">
        <v>0.0568454772082976</v>
      </c>
      <c r="L3033" t="b">
        <v>0</v>
      </c>
      <c r="M3033" t="b">
        <v>0</v>
      </c>
      <c r="N3033" t="inlineStr">
        <is>
          <t>ref</t>
        </is>
      </c>
      <c r="O3033" t="n">
        <v>35</v>
      </c>
      <c r="P3033" t="n">
        <v>0.00614</v>
      </c>
      <c r="Q3033" t="n">
        <v>-25</v>
      </c>
      <c r="R3033" t="n">
        <v>0.0177</v>
      </c>
      <c r="S3033">
        <f>IMAGE("https://mitra.stanford.edu/kundaje/oak/projects/neuro-variants/variant_position/credible/roussos_2024/variant_figures/roussos_2024.infant.GLU/rs111284769_count_position.png",4,220,900)</f>
        <v/>
      </c>
      <c r="T3033">
        <f>IMAGE("https://mitra.stanford.edu/kundaje/oak/projects/neuro-variants/variant_position/credible/roussos_2024/variant_figures/roussos_2024.infant.GLU/rs111284769_profile_position.png",4,220,900)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0.0322060588</v>
      </c>
      <c r="G3034" t="n">
        <v>0.1558575426865543</v>
      </c>
      <c r="H3034" t="n">
        <v>0.0187443098340146</v>
      </c>
      <c r="I3034" t="n">
        <v>0.215171111878081</v>
      </c>
      <c r="J3034" t="n">
        <v>0.36444917215988</v>
      </c>
      <c r="K3034" t="n">
        <v>0.0532301588810119</v>
      </c>
      <c r="L3034" t="b">
        <v>0</v>
      </c>
      <c r="M3034" t="b">
        <v>0</v>
      </c>
      <c r="N3034" t="inlineStr">
        <is>
          <t>alt</t>
        </is>
      </c>
      <c r="O3034" t="n">
        <v>100</v>
      </c>
      <c r="P3034" t="n">
        <v>0.002487</v>
      </c>
      <c r="Q3034" t="n">
        <v>-40</v>
      </c>
      <c r="R3034" t="n">
        <v>0.0665</v>
      </c>
      <c r="S3034">
        <f>IMAGE("https://mitra.stanford.edu/kundaje/oak/projects/neuro-variants/variant_position/credible/roussos_2024/variant_figures/roussos_2024.infant.GLU/rs112181396_count_position.png",4,220,900)</f>
        <v/>
      </c>
      <c r="T3034">
        <f>IMAGE("https://mitra.stanford.edu/kundaje/oak/projects/neuro-variants/variant_position/credible/roussos_2024/variant_figures/roussos_2024.infant.GLU/rs112181396_profile_position.png",4,220,900)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-0.0201781334</v>
      </c>
      <c r="G3035" t="n">
        <v>0.4455405578587705</v>
      </c>
      <c r="H3035" t="n">
        <v>0.0482434433224405</v>
      </c>
      <c r="I3035" t="n">
        <v>0.0089356964142635</v>
      </c>
      <c r="J3035" t="n">
        <v>0.008793183271236</v>
      </c>
      <c r="K3035" t="n">
        <v>0.676195873273568</v>
      </c>
      <c r="L3035" t="b">
        <v>0</v>
      </c>
      <c r="M3035" t="b">
        <v>0</v>
      </c>
      <c r="N3035" t="inlineStr">
        <is>
          <t>ref</t>
        </is>
      </c>
      <c r="O3035" t="n">
        <v>-90</v>
      </c>
      <c r="P3035" t="n">
        <v>0.0241</v>
      </c>
      <c r="Q3035" t="n">
        <v>-100</v>
      </c>
      <c r="R3035" t="n">
        <v>0.07043000000000001</v>
      </c>
      <c r="S3035">
        <f>IMAGE("https://mitra.stanford.edu/kundaje/oak/projects/neuro-variants/variant_position/credible/roussos_2024/variant_figures/roussos_2024.infant.GLU/rs35781550_count_position.png",4,220,900)</f>
        <v/>
      </c>
      <c r="T3035">
        <f>IMAGE("https://mitra.stanford.edu/kundaje/oak/projects/neuro-variants/variant_position/credible/roussos_2024/variant_figures/roussos_2024.infant.GLU/rs35781550_profile_position.png",4,220,900)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-0.024253836</v>
      </c>
      <c r="G3036" t="n">
        <v>0.3913935748036753</v>
      </c>
      <c r="H3036" t="n">
        <v>0.008843173602741901</v>
      </c>
      <c r="I3036" t="n">
        <v>0.8403468523264954</v>
      </c>
      <c r="J3036" t="n">
        <v>0.0035505632840229</v>
      </c>
      <c r="K3036" t="n">
        <v>0.7938553505949718</v>
      </c>
      <c r="L3036" t="b">
        <v>0</v>
      </c>
      <c r="M3036" t="b">
        <v>0</v>
      </c>
      <c r="N3036" t="inlineStr">
        <is>
          <t>ref</t>
        </is>
      </c>
      <c r="O3036" t="n">
        <v>-60</v>
      </c>
      <c r="P3036" t="n">
        <v>0.05338</v>
      </c>
      <c r="Q3036" t="n">
        <v>-100</v>
      </c>
      <c r="R3036" t="n">
        <v>0.0835</v>
      </c>
      <c r="S3036">
        <f>IMAGE("https://mitra.stanford.edu/kundaje/oak/projects/neuro-variants/variant_position/credible/roussos_2024/variant_figures/roussos_2024.infant.GLU/rs36044581_count_position.png",4,220,900)</f>
        <v/>
      </c>
      <c r="T3036">
        <f>IMAGE("https://mitra.stanford.edu/kundaje/oak/projects/neuro-variants/variant_position/credible/roussos_2024/variant_figures/roussos_2024.infant.GLU/rs36044581_profile_position.png",4,220,900)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0.179098758</v>
      </c>
      <c r="G3037" t="n">
        <v>0.0167352524962004</v>
      </c>
      <c r="H3037" t="n">
        <v>0.027826646695679</v>
      </c>
      <c r="I3037" t="n">
        <v>0.07573679860921891</v>
      </c>
      <c r="J3037" t="n">
        <v>0.0290813289534601</v>
      </c>
      <c r="K3037" t="n">
        <v>0.4688318509165259</v>
      </c>
      <c r="L3037" t="b">
        <v>1</v>
      </c>
      <c r="M3037" t="b">
        <v>0</v>
      </c>
      <c r="N3037" t="inlineStr">
        <is>
          <t>alt</t>
        </is>
      </c>
      <c r="O3037" t="n">
        <v>35</v>
      </c>
      <c r="P3037" t="n">
        <v>0.003754</v>
      </c>
      <c r="Q3037" t="n">
        <v>-55</v>
      </c>
      <c r="R3037" t="n">
        <v>0.05774</v>
      </c>
      <c r="S3037">
        <f>IMAGE("https://mitra.stanford.edu/kundaje/oak/projects/neuro-variants/variant_position/credible/roussos_2024/variant_figures/roussos_2024.infant.GLU/rs6824510_count_position.png",4,220,900)</f>
        <v/>
      </c>
      <c r="T3037">
        <f>IMAGE("https://mitra.stanford.edu/kundaje/oak/projects/neuro-variants/variant_position/credible/roussos_2024/variant_figures/roussos_2024.infant.GLU/rs6824510_profile_position.png",4,220,900)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0.113320756</v>
      </c>
      <c r="G3038" t="n">
        <v>0.0381307939022172</v>
      </c>
      <c r="H3038" t="n">
        <v>0.0189680173069318</v>
      </c>
      <c r="I3038" t="n">
        <v>0.2110077298406241</v>
      </c>
      <c r="J3038" t="n">
        <v>0.0420379637999073</v>
      </c>
      <c r="K3038" t="n">
        <v>0.3823273087394564</v>
      </c>
      <c r="L3038" t="b">
        <v>0</v>
      </c>
      <c r="M3038" t="b">
        <v>0</v>
      </c>
      <c r="N3038" t="inlineStr">
        <is>
          <t>alt</t>
        </is>
      </c>
      <c r="O3038" t="n">
        <v>70</v>
      </c>
      <c r="P3038" t="n">
        <v>0.03992</v>
      </c>
      <c r="Q3038" t="n">
        <v>15</v>
      </c>
      <c r="R3038" t="n">
        <v>0.00903</v>
      </c>
      <c r="S3038">
        <f>IMAGE("https://mitra.stanford.edu/kundaje/oak/projects/neuro-variants/variant_position/credible/roussos_2024/variant_figures/roussos_2024.infant.GLU/rs7690302_count_position.png",4,220,900)</f>
        <v/>
      </c>
      <c r="T3038">
        <f>IMAGE("https://mitra.stanford.edu/kundaje/oak/projects/neuro-variants/variant_position/credible/roussos_2024/variant_figures/roussos_2024.infant.GLU/rs7690302_profile_position.png",4,220,900)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-0.1034517579999999</v>
      </c>
      <c r="G3039" t="n">
        <v>0.0476684354234695</v>
      </c>
      <c r="H3039" t="n">
        <v>0.0433188283714845</v>
      </c>
      <c r="I3039" t="n">
        <v>0.0143499382906868</v>
      </c>
      <c r="J3039" t="n">
        <v>0.0229237857977467</v>
      </c>
      <c r="K3039" t="n">
        <v>0.5107761255991244</v>
      </c>
      <c r="L3039" t="b">
        <v>1</v>
      </c>
      <c r="M3039" t="b">
        <v>0</v>
      </c>
      <c r="N3039" t="inlineStr">
        <is>
          <t>ref</t>
        </is>
      </c>
      <c r="O3039" t="n">
        <v>15</v>
      </c>
      <c r="P3039" t="n">
        <v>0.00821</v>
      </c>
      <c r="Q3039" t="n">
        <v>-100</v>
      </c>
      <c r="R3039" t="n">
        <v>0.06274</v>
      </c>
      <c r="S3039">
        <f>IMAGE("https://mitra.stanford.edu/kundaje/oak/projects/neuro-variants/variant_position/credible/roussos_2024/variant_figures/roussos_2024.infant.GLU/rs13113901_count_position.png",4,220,900)</f>
        <v/>
      </c>
      <c r="T3039">
        <f>IMAGE("https://mitra.stanford.edu/kundaje/oak/projects/neuro-variants/variant_position/credible/roussos_2024/variant_figures/roussos_2024.infant.GLU/rs13113901_profile_position.png",4,220,900)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-0.00795170926</v>
      </c>
      <c r="G3040" t="n">
        <v>0.6926184012844563</v>
      </c>
      <c r="H3040" t="n">
        <v>0.0382682870269222</v>
      </c>
      <c r="I3040" t="n">
        <v>0.0243656330057563</v>
      </c>
      <c r="J3040" t="n">
        <v>0.1707367887299102</v>
      </c>
      <c r="K3040" t="n">
        <v>0.1333625343641723</v>
      </c>
      <c r="L3040" t="b">
        <v>0</v>
      </c>
      <c r="M3040" t="b">
        <v>0</v>
      </c>
      <c r="N3040" t="inlineStr">
        <is>
          <t>ref</t>
        </is>
      </c>
      <c r="O3040" t="n">
        <v>55</v>
      </c>
      <c r="P3040" t="n">
        <v>0.007965</v>
      </c>
      <c r="Q3040" t="n">
        <v>95</v>
      </c>
      <c r="R3040" t="n">
        <v>0.2225</v>
      </c>
      <c r="S3040">
        <f>IMAGE("https://mitra.stanford.edu/kundaje/oak/projects/neuro-variants/variant_position/credible/roussos_2024/variant_figures/roussos_2024.infant.GLU/rs7658506_count_position.png",4,220,900)</f>
        <v/>
      </c>
      <c r="T3040">
        <f>IMAGE("https://mitra.stanford.edu/kundaje/oak/projects/neuro-variants/variant_position/credible/roussos_2024/variant_figures/roussos_2024.infant.GLU/rs7658506_profile_position.png",4,220,900)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0.0077783056199999</v>
      </c>
      <c r="G3041" t="n">
        <v>0.6903244656060111</v>
      </c>
      <c r="H3041" t="n">
        <v>0.0257517898709557</v>
      </c>
      <c r="I3041" t="n">
        <v>0.0933609062310638</v>
      </c>
      <c r="J3041" t="n">
        <v>0.1497332392689432</v>
      </c>
      <c r="K3041" t="n">
        <v>0.1516266094794074</v>
      </c>
      <c r="L3041" t="b">
        <v>0</v>
      </c>
      <c r="M3041" t="b">
        <v>0</v>
      </c>
      <c r="N3041" t="inlineStr">
        <is>
          <t>alt</t>
        </is>
      </c>
      <c r="O3041" t="n">
        <v>15</v>
      </c>
      <c r="P3041" t="n">
        <v>0.0008545</v>
      </c>
      <c r="Q3041" t="n">
        <v>60</v>
      </c>
      <c r="R3041" t="n">
        <v>0.2737</v>
      </c>
      <c r="S3041">
        <f>IMAGE("https://mitra.stanford.edu/kundaje/oak/projects/neuro-variants/variant_position/credible/roussos_2024/variant_figures/roussos_2024.infant.GLU/rs7681085_count_position.png",4,220,900)</f>
        <v/>
      </c>
      <c r="T3041">
        <f>IMAGE("https://mitra.stanford.edu/kundaje/oak/projects/neuro-variants/variant_position/credible/roussos_2024/variant_figures/roussos_2024.infant.GLU/rs7681085_profile_position.png",4,220,900)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0.0280289018</v>
      </c>
      <c r="G3042" t="n">
        <v>0.2929967804420166</v>
      </c>
      <c r="H3042" t="n">
        <v>0.016696409925493</v>
      </c>
      <c r="I3042" t="n">
        <v>0.2887178377217297</v>
      </c>
      <c r="J3042" t="n">
        <v>0.06689852069049131</v>
      </c>
      <c r="K3042" t="n">
        <v>0.2828972154221041</v>
      </c>
      <c r="L3042" t="b">
        <v>0</v>
      </c>
      <c r="M3042" t="b">
        <v>0</v>
      </c>
      <c r="N3042" t="inlineStr">
        <is>
          <t>alt</t>
        </is>
      </c>
      <c r="O3042" t="n">
        <v>-30</v>
      </c>
      <c r="P3042" t="n">
        <v>0.008933999999999999</v>
      </c>
      <c r="Q3042" t="n">
        <v>55</v>
      </c>
      <c r="R3042" t="n">
        <v>0.10205</v>
      </c>
      <c r="S3042">
        <f>IMAGE("https://mitra.stanford.edu/kundaje/oak/projects/neuro-variants/variant_position/credible/roussos_2024/variant_figures/roussos_2024.infant.GLU/rs13115626_count_position.png",4,220,900)</f>
        <v/>
      </c>
      <c r="T3042">
        <f>IMAGE("https://mitra.stanford.edu/kundaje/oak/projects/neuro-variants/variant_position/credible/roussos_2024/variant_figures/roussos_2024.infant.GLU/rs13115626_profile_position.png",4,220,900)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0.253731904</v>
      </c>
      <c r="G3043" t="n">
        <v>0.0052004861537791</v>
      </c>
      <c r="H3043" t="n">
        <v>0.0213433334477642</v>
      </c>
      <c r="I3043" t="n">
        <v>0.158072114076676</v>
      </c>
      <c r="J3043" t="n">
        <v>0.1712273198262747</v>
      </c>
      <c r="K3043" t="n">
        <v>0.1312060633007889</v>
      </c>
      <c r="L3043" t="b">
        <v>1</v>
      </c>
      <c r="M3043" t="b">
        <v>1</v>
      </c>
      <c r="N3043" t="inlineStr">
        <is>
          <t>alt</t>
        </is>
      </c>
      <c r="O3043" t="n">
        <v>-60</v>
      </c>
      <c r="P3043" t="n">
        <v>0.1002</v>
      </c>
      <c r="Q3043" t="n">
        <v>-25</v>
      </c>
      <c r="R3043" t="n">
        <v>0.04248</v>
      </c>
      <c r="S3043">
        <f>IMAGE("https://mitra.stanford.edu/kundaje/oak/projects/neuro-variants/variant_position/credible/roussos_2024/variant_figures/roussos_2024.infant.GLU/rs4695202_count_position.png",4,220,900)</f>
        <v/>
      </c>
      <c r="T3043">
        <f>IMAGE("https://mitra.stanford.edu/kundaje/oak/projects/neuro-variants/variant_position/credible/roussos_2024/variant_figures/roussos_2024.infant.GLU/rs4695202_profile_position.png",4,220,900)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-0.0281511322</v>
      </c>
      <c r="G3044" t="n">
        <v>0.344846926819214</v>
      </c>
      <c r="H3044" t="n">
        <v>0.009965258184512601</v>
      </c>
      <c r="I3044" t="n">
        <v>0.7401935619722725</v>
      </c>
      <c r="J3044" t="n">
        <v>0.0256343834740624</v>
      </c>
      <c r="K3044" t="n">
        <v>0.4850521677277762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0.0265</v>
      </c>
      <c r="Q3044" t="n">
        <v>100</v>
      </c>
      <c r="R3044" t="n">
        <v>0.08527</v>
      </c>
      <c r="S3044">
        <f>IMAGE("https://mitra.stanford.edu/kundaje/oak/projects/neuro-variants/variant_position/credible/roussos_2024/variant_figures/roussos_2024.infant.GLU/rs28584485_count_position.png",4,220,900)</f>
        <v/>
      </c>
      <c r="T3044">
        <f>IMAGE("https://mitra.stanford.edu/kundaje/oak/projects/neuro-variants/variant_position/credible/roussos_2024/variant_figures/roussos_2024.infant.GLU/rs28584485_profile_position.png",4,220,900)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0.0208116397999999</v>
      </c>
      <c r="G3045" t="n">
        <v>0.4264133615329213</v>
      </c>
      <c r="H3045" t="n">
        <v>0.0083117262491931</v>
      </c>
      <c r="I3045" t="n">
        <v>0.8613364584710327</v>
      </c>
      <c r="J3045" t="n">
        <v>0.1376595603959522</v>
      </c>
      <c r="K3045" t="n">
        <v>0.1574087963526504</v>
      </c>
      <c r="L3045" t="b">
        <v>0</v>
      </c>
      <c r="M3045" t="b">
        <v>0</v>
      </c>
      <c r="N3045" t="inlineStr">
        <is>
          <t>alt</t>
        </is>
      </c>
      <c r="O3045" t="n">
        <v>-95</v>
      </c>
      <c r="P3045" t="n">
        <v>0.007713</v>
      </c>
      <c r="Q3045" t="n">
        <v>100</v>
      </c>
      <c r="R3045" t="n">
        <v>0.06370000000000001</v>
      </c>
      <c r="S3045">
        <f>IMAGE("https://mitra.stanford.edu/kundaje/oak/projects/neuro-variants/variant_position/credible/roussos_2024/variant_figures/roussos_2024.infant.GLU/rs4426746_count_position.png",4,220,900)</f>
        <v/>
      </c>
      <c r="T3045">
        <f>IMAGE("https://mitra.stanford.edu/kundaje/oak/projects/neuro-variants/variant_position/credible/roussos_2024/variant_figures/roussos_2024.infant.GLU/rs4426746_profile_position.png",4,220,900)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-0.081461224</v>
      </c>
      <c r="G3046" t="n">
        <v>0.0789277741522945</v>
      </c>
      <c r="H3046" t="n">
        <v>0.0132175955529869</v>
      </c>
      <c r="I3046" t="n">
        <v>0.4682986600668232</v>
      </c>
      <c r="J3046" t="n">
        <v>0.1324246566282325</v>
      </c>
      <c r="K3046" t="n">
        <v>0.1713128977321248</v>
      </c>
      <c r="L3046" t="b">
        <v>0</v>
      </c>
      <c r="M3046" t="b">
        <v>0</v>
      </c>
      <c r="N3046" t="inlineStr">
        <is>
          <t>ref</t>
        </is>
      </c>
      <c r="O3046" t="n">
        <v>95</v>
      </c>
      <c r="P3046" t="n">
        <v>0.1136</v>
      </c>
      <c r="Q3046" t="n">
        <v>100</v>
      </c>
      <c r="R3046" t="n">
        <v>0.07006999999999999</v>
      </c>
      <c r="S3046">
        <f>IMAGE("https://mitra.stanford.edu/kundaje/oak/projects/neuro-variants/variant_position/credible/roussos_2024/variant_figures/roussos_2024.infant.GLU/rs13108290_count_position.png",4,220,900)</f>
        <v/>
      </c>
      <c r="T3046">
        <f>IMAGE("https://mitra.stanford.edu/kundaje/oak/projects/neuro-variants/variant_position/credible/roussos_2024/variant_figures/roussos_2024.infant.GLU/rs13108290_profile_position.png",4,220,900)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-0.241104726</v>
      </c>
      <c r="G3047" t="n">
        <v>0.0064044576137593</v>
      </c>
      <c r="H3047" t="n">
        <v>0.0387987364384845</v>
      </c>
      <c r="I3047" t="n">
        <v>0.0231985045227838</v>
      </c>
      <c r="J3047" t="n">
        <v>0.5647434908176988</v>
      </c>
      <c r="K3047" t="n">
        <v>0.0242479701116856</v>
      </c>
      <c r="L3047" t="b">
        <v>1</v>
      </c>
      <c r="M3047" t="b">
        <v>1</v>
      </c>
      <c r="N3047" t="inlineStr">
        <is>
          <t>ref</t>
        </is>
      </c>
      <c r="O3047" t="n">
        <v>-100</v>
      </c>
      <c r="P3047" t="n">
        <v>0.0344</v>
      </c>
      <c r="Q3047" t="n">
        <v>-100</v>
      </c>
      <c r="R3047" t="n">
        <v>0.1831</v>
      </c>
      <c r="S3047">
        <f>IMAGE("https://mitra.stanford.edu/kundaje/oak/projects/neuro-variants/variant_position/credible/roussos_2024/variant_figures/roussos_2024.infant.GLU/rs7671128_count_position.png",4,220,900)</f>
        <v/>
      </c>
      <c r="T3047">
        <f>IMAGE("https://mitra.stanford.edu/kundaje/oak/projects/neuro-variants/variant_position/credible/roussos_2024/variant_figures/roussos_2024.infant.GLU/rs7671128_profile_position.png",4,220,900)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0.0414245422</v>
      </c>
      <c r="G3048" t="n">
        <v>0.211543687666787</v>
      </c>
      <c r="H3048" t="n">
        <v>0.009618406401936799</v>
      </c>
      <c r="I3048" t="n">
        <v>0.7515243209792386</v>
      </c>
      <c r="J3048" t="n">
        <v>0.0243402632333164</v>
      </c>
      <c r="K3048" t="n">
        <v>0.4957324627578163</v>
      </c>
      <c r="L3048" t="b">
        <v>0</v>
      </c>
      <c r="M3048" t="b">
        <v>0</v>
      </c>
      <c r="N3048" t="inlineStr">
        <is>
          <t>alt</t>
        </is>
      </c>
      <c r="O3048" t="n">
        <v>-45</v>
      </c>
      <c r="P3048" t="n">
        <v>0.006104</v>
      </c>
      <c r="Q3048" t="n">
        <v>-90</v>
      </c>
      <c r="R3048" t="n">
        <v>0.1045</v>
      </c>
      <c r="S3048">
        <f>IMAGE("https://mitra.stanford.edu/kundaje/oak/projects/neuro-variants/variant_position/credible/roussos_2024/variant_figures/roussos_2024.infant.GLU/rs7675843_count_position.png",4,220,900)</f>
        <v/>
      </c>
      <c r="T3048">
        <f>IMAGE("https://mitra.stanford.edu/kundaje/oak/projects/neuro-variants/variant_position/credible/roussos_2024/variant_figures/roussos_2024.infant.GLU/rs7675843_profile_position.png",4,220,900)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0.0285665822</v>
      </c>
      <c r="G3049" t="n">
        <v>0.3217595318754652</v>
      </c>
      <c r="H3049" t="n">
        <v>0.0414362743870588</v>
      </c>
      <c r="I3049" t="n">
        <v>0.017490433865781</v>
      </c>
      <c r="J3049" t="n">
        <v>0.0268072488370554</v>
      </c>
      <c r="K3049" t="n">
        <v>0.472483443172238</v>
      </c>
      <c r="L3049" t="b">
        <v>1</v>
      </c>
      <c r="M3049" t="b">
        <v>0</v>
      </c>
      <c r="N3049" t="inlineStr">
        <is>
          <t>alt</t>
        </is>
      </c>
      <c r="O3049" t="n">
        <v>85</v>
      </c>
      <c r="P3049" t="n">
        <v>0.0343</v>
      </c>
      <c r="Q3049" t="n">
        <v>45</v>
      </c>
      <c r="R3049" t="n">
        <v>0.03522</v>
      </c>
      <c r="S3049">
        <f>IMAGE("https://mitra.stanford.edu/kundaje/oak/projects/neuro-variants/variant_position/credible/roussos_2024/variant_figures/roussos_2024.infant.GLU/rs9685762_count_position.png",4,220,900)</f>
        <v/>
      </c>
      <c r="T3049">
        <f>IMAGE("https://mitra.stanford.edu/kundaje/oak/projects/neuro-variants/variant_position/credible/roussos_2024/variant_figures/roussos_2024.infant.GLU/rs9685762_profile_position.png",4,220,900)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-0.0108494488</v>
      </c>
      <c r="G3050" t="n">
        <v>0.3916341535348017</v>
      </c>
      <c r="H3050" t="n">
        <v>0.0140163155450348</v>
      </c>
      <c r="I3050" t="n">
        <v>0.4138422216281007</v>
      </c>
      <c r="J3050" t="n">
        <v>0.2044754073061575</v>
      </c>
      <c r="K3050" t="n">
        <v>0.1062493446117806</v>
      </c>
      <c r="L3050" t="b">
        <v>0</v>
      </c>
      <c r="M3050" t="b">
        <v>0</v>
      </c>
      <c r="N3050" t="inlineStr">
        <is>
          <t>ref</t>
        </is>
      </c>
      <c r="O3050" t="n">
        <v>-90</v>
      </c>
      <c r="P3050" t="n">
        <v>0.0188</v>
      </c>
      <c r="Q3050" t="n">
        <v>-80</v>
      </c>
      <c r="R3050" t="n">
        <v>0.29</v>
      </c>
      <c r="S3050">
        <f>IMAGE("https://mitra.stanford.edu/kundaje/oak/projects/neuro-variants/variant_position/credible/roussos_2024/variant_figures/roussos_2024.infant.GLU/rs17005062_count_position.png",4,220,900)</f>
        <v/>
      </c>
      <c r="T3050">
        <f>IMAGE("https://mitra.stanford.edu/kundaje/oak/projects/neuro-variants/variant_position/credible/roussos_2024/variant_figures/roussos_2024.infant.GLU/rs17005062_profile_position.png",4,220,900)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0.1330705339999999</v>
      </c>
      <c r="G3051" t="n">
        <v>0.0281700371207722</v>
      </c>
      <c r="H3051" t="n">
        <v>0.0223726642903398</v>
      </c>
      <c r="I3051" t="n">
        <v>0.1440615922647769</v>
      </c>
      <c r="J3051" t="n">
        <v>0.1279095659075376</v>
      </c>
      <c r="K3051" t="n">
        <v>0.1821804992156909</v>
      </c>
      <c r="L3051" t="b">
        <v>0</v>
      </c>
      <c r="M3051" t="b">
        <v>0</v>
      </c>
      <c r="N3051" t="inlineStr">
        <is>
          <t>alt</t>
        </is>
      </c>
      <c r="O3051" t="n">
        <v>-45</v>
      </c>
      <c r="P3051" t="n">
        <v>0.02228</v>
      </c>
      <c r="Q3051" t="n">
        <v>-30</v>
      </c>
      <c r="R3051" t="n">
        <v>0.04565</v>
      </c>
      <c r="S3051">
        <f>IMAGE("https://mitra.stanford.edu/kundaje/oak/projects/neuro-variants/variant_position/credible/roussos_2024/variant_figures/roussos_2024.infant.GLU/rs1443539_count_position.png",4,220,900)</f>
        <v/>
      </c>
      <c r="T3051">
        <f>IMAGE("https://mitra.stanford.edu/kundaje/oak/projects/neuro-variants/variant_position/credible/roussos_2024/variant_figures/roussos_2024.infant.GLU/rs1443539_profile_position.png",4,220,900)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0.0121130722</v>
      </c>
      <c r="G3052" t="n">
        <v>0.290919618916416</v>
      </c>
      <c r="H3052" t="n">
        <v>0.0244488161913343</v>
      </c>
      <c r="I3052" t="n">
        <v>0.1086089713565376</v>
      </c>
      <c r="J3052" t="n">
        <v>0.4216858837275953</v>
      </c>
      <c r="K3052" t="n">
        <v>0.041312042331437</v>
      </c>
      <c r="L3052" t="b">
        <v>0</v>
      </c>
      <c r="M3052" t="b">
        <v>0</v>
      </c>
      <c r="N3052" t="inlineStr">
        <is>
          <t>alt</t>
        </is>
      </c>
      <c r="O3052" t="n">
        <v>5</v>
      </c>
      <c r="P3052" t="n">
        <v>0.00203</v>
      </c>
      <c r="Q3052" t="n">
        <v>-100</v>
      </c>
      <c r="R3052" t="n">
        <v>0.1001</v>
      </c>
      <c r="S3052">
        <f>IMAGE("https://mitra.stanford.edu/kundaje/oak/projects/neuro-variants/variant_position/credible/roussos_2024/variant_figures/roussos_2024.infant.GLU/rs151421_count_position.png",4,220,900)</f>
        <v/>
      </c>
      <c r="T3052">
        <f>IMAGE("https://mitra.stanford.edu/kundaje/oak/projects/neuro-variants/variant_position/credible/roussos_2024/variant_figures/roussos_2024.infant.GLU/rs151421_profile_position.png",4,220,900)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0.193607084</v>
      </c>
      <c r="G3053" t="n">
        <v>0.0108233666666535</v>
      </c>
      <c r="H3053" t="n">
        <v>0.0283819136233324</v>
      </c>
      <c r="I3053" t="n">
        <v>0.0685705048297531</v>
      </c>
      <c r="J3053" t="n">
        <v>0.06292025838312119</v>
      </c>
      <c r="K3053" t="n">
        <v>0.3054514201339811</v>
      </c>
      <c r="L3053" t="b">
        <v>1</v>
      </c>
      <c r="M3053" t="b">
        <v>0</v>
      </c>
      <c r="N3053" t="inlineStr">
        <is>
          <t>alt</t>
        </is>
      </c>
      <c r="O3053" t="n">
        <v>-100</v>
      </c>
      <c r="P3053" t="n">
        <v>0.02496</v>
      </c>
      <c r="Q3053" t="n">
        <v>20</v>
      </c>
      <c r="R3053" t="n">
        <v>0.0801</v>
      </c>
      <c r="S3053">
        <f>IMAGE("https://mitra.stanford.edu/kundaje/oak/projects/neuro-variants/variant_position/credible/roussos_2024/variant_figures/roussos_2024.infant.GLU/rs150898_count_position.png",4,220,900)</f>
        <v/>
      </c>
      <c r="T3053">
        <f>IMAGE("https://mitra.stanford.edu/kundaje/oak/projects/neuro-variants/variant_position/credible/roussos_2024/variant_figures/roussos_2024.infant.GLU/rs150898_profile_position.png",4,220,900)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-0.0390803267999999</v>
      </c>
      <c r="G3054" t="n">
        <v>0.2426319473102821</v>
      </c>
      <c r="H3054" t="n">
        <v>0.0113246633577008</v>
      </c>
      <c r="I3054" t="n">
        <v>0.6165640338534877</v>
      </c>
      <c r="J3054" t="n">
        <v>0.0308626733393592</v>
      </c>
      <c r="K3054" t="n">
        <v>0.4422147299022735</v>
      </c>
      <c r="L3054" t="b">
        <v>0</v>
      </c>
      <c r="M3054" t="b">
        <v>0</v>
      </c>
      <c r="N3054" t="inlineStr">
        <is>
          <t>ref</t>
        </is>
      </c>
      <c r="O3054" t="n">
        <v>65</v>
      </c>
      <c r="P3054" t="n">
        <v>0.09863</v>
      </c>
      <c r="Q3054" t="n">
        <v>30</v>
      </c>
      <c r="R3054" t="n">
        <v>0.0247</v>
      </c>
      <c r="S3054">
        <f>IMAGE("https://mitra.stanford.edu/kundaje/oak/projects/neuro-variants/variant_position/credible/roussos_2024/variant_figures/roussos_2024.infant.GLU/rs223473_count_position.png",4,220,900)</f>
        <v/>
      </c>
      <c r="T3054">
        <f>IMAGE("https://mitra.stanford.edu/kundaje/oak/projects/neuro-variants/variant_position/credible/roussos_2024/variant_figures/roussos_2024.infant.GLU/rs223473_profile_position.png",4,220,900)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0.0438535021</v>
      </c>
      <c r="G3055" t="n">
        <v>0.2144238325428518</v>
      </c>
      <c r="H3055" t="n">
        <v>0.016740390227102</v>
      </c>
      <c r="I3055" t="n">
        <v>0.2855842560852494</v>
      </c>
      <c r="J3055" t="n">
        <v>0.0927247073348177</v>
      </c>
      <c r="K3055" t="n">
        <v>0.2206600495509603</v>
      </c>
      <c r="L3055" t="b">
        <v>0</v>
      </c>
      <c r="M3055" t="b">
        <v>0</v>
      </c>
      <c r="N3055" t="inlineStr">
        <is>
          <t>alt</t>
        </is>
      </c>
      <c r="O3055" t="n">
        <v>90</v>
      </c>
      <c r="P3055" t="n">
        <v>0.01883</v>
      </c>
      <c r="Q3055" t="n">
        <v>100</v>
      </c>
      <c r="R3055" t="n">
        <v>0.02844</v>
      </c>
      <c r="S3055">
        <f>IMAGE("https://mitra.stanford.edu/kundaje/oak/projects/neuro-variants/variant_position/credible/roussos_2024/variant_figures/roussos_2024.infant.GLU/rs223471_count_position.png",4,220,900)</f>
        <v/>
      </c>
      <c r="T3055">
        <f>IMAGE("https://mitra.stanford.edu/kundaje/oak/projects/neuro-variants/variant_position/credible/roussos_2024/variant_figures/roussos_2024.infant.GLU/rs223471_profile_position.png",4,220,900)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-0.0560191792</v>
      </c>
      <c r="G3056" t="n">
        <v>0.1410522414074006</v>
      </c>
      <c r="H3056" t="n">
        <v>0.0693168713282477</v>
      </c>
      <c r="I3056" t="n">
        <v>0.001420500564913</v>
      </c>
      <c r="J3056" t="n">
        <v>0.0067770453493242</v>
      </c>
      <c r="K3056" t="n">
        <v>0.7319052170455196</v>
      </c>
      <c r="L3056" t="b">
        <v>0</v>
      </c>
      <c r="M3056" t="b">
        <v>0</v>
      </c>
      <c r="N3056" t="inlineStr">
        <is>
          <t>ref</t>
        </is>
      </c>
      <c r="O3056" t="n">
        <v>50</v>
      </c>
      <c r="P3056" t="n">
        <v>0.0278</v>
      </c>
      <c r="Q3056" t="n">
        <v>80</v>
      </c>
      <c r="R3056" t="n">
        <v>0.1102</v>
      </c>
      <c r="S3056">
        <f>IMAGE("https://mitra.stanford.edu/kundaje/oak/projects/neuro-variants/variant_position/credible/roussos_2024/variant_figures/roussos_2024.infant.GLU/rs223465_count_position.png",4,220,900)</f>
        <v/>
      </c>
      <c r="T3056">
        <f>IMAGE("https://mitra.stanford.edu/kundaje/oak/projects/neuro-variants/variant_position/credible/roussos_2024/variant_figures/roussos_2024.infant.GLU/rs223465_profile_position.png",4,220,900)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0.0568411217999999</v>
      </c>
      <c r="G3057" t="n">
        <v>0.1427115415900527</v>
      </c>
      <c r="H3057" t="n">
        <v>0.0111242976490941</v>
      </c>
      <c r="I3057" t="n">
        <v>0.6356415499126312</v>
      </c>
      <c r="J3057" t="n">
        <v>0.09273903745673399</v>
      </c>
      <c r="K3057" t="n">
        <v>0.2361137538847429</v>
      </c>
      <c r="L3057" t="b">
        <v>0</v>
      </c>
      <c r="M3057" t="b">
        <v>0</v>
      </c>
      <c r="N3057" t="inlineStr">
        <is>
          <t>alt</t>
        </is>
      </c>
      <c r="O3057" t="n">
        <v>-100</v>
      </c>
      <c r="P3057" t="n">
        <v>0.01506</v>
      </c>
      <c r="Q3057" t="n">
        <v>100</v>
      </c>
      <c r="R3057" t="n">
        <v>0.2556</v>
      </c>
      <c r="S3057">
        <f>IMAGE("https://mitra.stanford.edu/kundaje/oak/projects/neuro-variants/variant_position/credible/roussos_2024/variant_figures/roussos_2024.infant.GLU/rs223460_count_position.png",4,220,900)</f>
        <v/>
      </c>
      <c r="T3057">
        <f>IMAGE("https://mitra.stanford.edu/kundaje/oak/projects/neuro-variants/variant_position/credible/roussos_2024/variant_figures/roussos_2024.infant.GLU/rs223460_profile_position.png",4,220,900)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0.07054269639999999</v>
      </c>
      <c r="G3058" t="n">
        <v>0.0991881900094778</v>
      </c>
      <c r="H3058" t="n">
        <v>0.0156961197413191</v>
      </c>
      <c r="I3058" t="n">
        <v>0.3280403187918983</v>
      </c>
      <c r="J3058" t="n">
        <v>0.0723108975065587</v>
      </c>
      <c r="K3058" t="n">
        <v>0.267113368544698</v>
      </c>
      <c r="L3058" t="b">
        <v>0</v>
      </c>
      <c r="M3058" t="b">
        <v>0</v>
      </c>
      <c r="N3058" t="inlineStr">
        <is>
          <t>alt</t>
        </is>
      </c>
      <c r="O3058" t="n">
        <v>-85</v>
      </c>
      <c r="P3058" t="n">
        <v>0.000351</v>
      </c>
      <c r="Q3058" t="n">
        <v>70</v>
      </c>
      <c r="R3058" t="n">
        <v>0.0842</v>
      </c>
      <c r="S3058">
        <f>IMAGE("https://mitra.stanford.edu/kundaje/oak/projects/neuro-variants/variant_position/credible/roussos_2024/variant_figures/roussos_2024.infant.GLU/rs223456_count_position.png",4,220,900)</f>
        <v/>
      </c>
      <c r="T3058">
        <f>IMAGE("https://mitra.stanford.edu/kundaje/oak/projects/neuro-variants/variant_position/credible/roussos_2024/variant_figures/roussos_2024.infant.GLU/rs223456_profile_position.png",4,220,900)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0.0348282374</v>
      </c>
      <c r="G3059" t="n">
        <v>0.2617909565188638</v>
      </c>
      <c r="H3059" t="n">
        <v>0.0089101386579227</v>
      </c>
      <c r="I3059" t="n">
        <v>0.8305947338623565</v>
      </c>
      <c r="J3059" t="n">
        <v>0.3196785643422474</v>
      </c>
      <c r="K3059" t="n">
        <v>0.0618096329149073</v>
      </c>
      <c r="L3059" t="b">
        <v>0</v>
      </c>
      <c r="M3059" t="b">
        <v>0</v>
      </c>
      <c r="N3059" t="inlineStr">
        <is>
          <t>alt</t>
        </is>
      </c>
      <c r="O3059" t="n">
        <v>95</v>
      </c>
      <c r="P3059" t="n">
        <v>0.009350000000000001</v>
      </c>
      <c r="Q3059" t="n">
        <v>-90</v>
      </c>
      <c r="R3059" t="n">
        <v>0.4507</v>
      </c>
      <c r="S3059">
        <f>IMAGE("https://mitra.stanford.edu/kundaje/oak/projects/neuro-variants/variant_position/credible/roussos_2024/variant_figures/roussos_2024.infant.GLU/rs223434_count_position.png",4,220,900)</f>
        <v/>
      </c>
      <c r="T3059">
        <f>IMAGE("https://mitra.stanford.edu/kundaje/oak/projects/neuro-variants/variant_position/credible/roussos_2024/variant_figures/roussos_2024.infant.GLU/rs223434_profile_position.png",4,220,900)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0.082876481</v>
      </c>
      <c r="G3060" t="n">
        <v>0.0801297212394433</v>
      </c>
      <c r="H3060" t="n">
        <v>0.0379977439821562</v>
      </c>
      <c r="I3060" t="n">
        <v>0.0246971626561234</v>
      </c>
      <c r="J3060" t="n">
        <v>0.0164190127648316</v>
      </c>
      <c r="K3060" t="n">
        <v>0.5785697751759705</v>
      </c>
      <c r="L3060" t="b">
        <v>0</v>
      </c>
      <c r="M3060" t="b">
        <v>0</v>
      </c>
      <c r="N3060" t="inlineStr">
        <is>
          <t>alt</t>
        </is>
      </c>
      <c r="O3060" t="n">
        <v>90</v>
      </c>
      <c r="P3060" t="n">
        <v>0.009964000000000001</v>
      </c>
      <c r="Q3060" t="n">
        <v>50</v>
      </c>
      <c r="R3060" t="n">
        <v>0.05136</v>
      </c>
      <c r="S3060">
        <f>IMAGE("https://mitra.stanford.edu/kundaje/oak/projects/neuro-variants/variant_position/credible/roussos_2024/variant_figures/roussos_2024.infant.GLU/rs223426_count_position.png",4,220,900)</f>
        <v/>
      </c>
      <c r="T3060">
        <f>IMAGE("https://mitra.stanford.edu/kundaje/oak/projects/neuro-variants/variant_position/credible/roussos_2024/variant_figures/roussos_2024.infant.GLU/rs223426_profile_position.png",4,220,900)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-0.0388045442</v>
      </c>
      <c r="G3061" t="n">
        <v>0.2379712308590252</v>
      </c>
      <c r="H3061" t="n">
        <v>0.0095014777772367</v>
      </c>
      <c r="I3061" t="n">
        <v>0.7816432161614963</v>
      </c>
      <c r="J3061" t="n">
        <v>0.0023743909698185</v>
      </c>
      <c r="K3061" t="n">
        <v>0.8279343866320124</v>
      </c>
      <c r="L3061" t="b">
        <v>0</v>
      </c>
      <c r="M3061" t="b">
        <v>0</v>
      </c>
      <c r="N3061" t="inlineStr">
        <is>
          <t>ref</t>
        </is>
      </c>
      <c r="O3061" t="n">
        <v>-90</v>
      </c>
      <c r="P3061" t="n">
        <v>0.03815</v>
      </c>
      <c r="Q3061" t="n">
        <v>100</v>
      </c>
      <c r="R3061" t="n">
        <v>0.05957</v>
      </c>
      <c r="S3061">
        <f>IMAGE("https://mitra.stanford.edu/kundaje/oak/projects/neuro-variants/variant_position/credible/roussos_2024/variant_figures/roussos_2024.infant.GLU/rs223415_count_position.png",4,220,900)</f>
        <v/>
      </c>
      <c r="T3061">
        <f>IMAGE("https://mitra.stanford.edu/kundaje/oak/projects/neuro-variants/variant_position/credible/roussos_2024/variant_figures/roussos_2024.infant.GLU/rs223415_profile_position.png",4,220,900)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0.0001671303999999</v>
      </c>
      <c r="G3062" t="n">
        <v>0.539881312629064</v>
      </c>
      <c r="H3062" t="n">
        <v>0.0173820429652315</v>
      </c>
      <c r="I3062" t="n">
        <v>0.2613175737067527</v>
      </c>
      <c r="J3062" t="n">
        <v>0.1796688639520271</v>
      </c>
      <c r="K3062" t="n">
        <v>0.1217498898007613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0.02065</v>
      </c>
      <c r="Q3062" t="n">
        <v>95</v>
      </c>
      <c r="R3062" t="n">
        <v>0.12225</v>
      </c>
      <c r="S3062">
        <f>IMAGE("https://mitra.stanford.edu/kundaje/oak/projects/neuro-variants/variant_position/credible/roussos_2024/variant_figures/roussos_2024.infant.GLU/rs223412_count_position.png",4,220,900)</f>
        <v/>
      </c>
      <c r="T3062">
        <f>IMAGE("https://mitra.stanford.edu/kundaje/oak/projects/neuro-variants/variant_position/credible/roussos_2024/variant_figures/roussos_2024.infant.GLU/rs223412_profile_position.png",4,220,900)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-0.0178459394</v>
      </c>
      <c r="G3063" t="n">
        <v>0.4784049254430987</v>
      </c>
      <c r="H3063" t="n">
        <v>0.0609107638670554</v>
      </c>
      <c r="I3063" t="n">
        <v>0.0028411682365349</v>
      </c>
      <c r="J3063" t="n">
        <v>0.0077426751030666</v>
      </c>
      <c r="K3063" t="n">
        <v>0.7318031424479697</v>
      </c>
      <c r="L3063" t="b">
        <v>0</v>
      </c>
      <c r="M3063" t="b">
        <v>0</v>
      </c>
      <c r="N3063" t="inlineStr">
        <is>
          <t>ref</t>
        </is>
      </c>
      <c r="O3063" t="n">
        <v>65</v>
      </c>
      <c r="P3063" t="n">
        <v>0.01047</v>
      </c>
      <c r="Q3063" t="n">
        <v>100</v>
      </c>
      <c r="R3063" t="n">
        <v>0.387</v>
      </c>
      <c r="S3063">
        <f>IMAGE("https://mitra.stanford.edu/kundaje/oak/projects/neuro-variants/variant_position/credible/roussos_2024/variant_figures/roussos_2024.infant.GLU/rs223406_count_position.png",4,220,900)</f>
        <v/>
      </c>
      <c r="T3063">
        <f>IMAGE("https://mitra.stanford.edu/kundaje/oak/projects/neuro-variants/variant_position/credible/roussos_2024/variant_figures/roussos_2024.infant.GLU/rs223406_profile_position.png",4,220,900)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-0.0241637307999999</v>
      </c>
      <c r="G3064" t="n">
        <v>0.3891243440571463</v>
      </c>
      <c r="H3064" t="n">
        <v>0.0444649152644304</v>
      </c>
      <c r="I3064" t="n">
        <v>0.0128626049357351</v>
      </c>
      <c r="J3064" t="n">
        <v>0.0131583588703454</v>
      </c>
      <c r="K3064" t="n">
        <v>0.6164053423468135</v>
      </c>
      <c r="L3064" t="b">
        <v>1</v>
      </c>
      <c r="M3064" t="b">
        <v>0</v>
      </c>
      <c r="N3064" t="inlineStr">
        <is>
          <t>ref</t>
        </is>
      </c>
      <c r="O3064" t="n">
        <v>100</v>
      </c>
      <c r="P3064" t="n">
        <v>0.00727</v>
      </c>
      <c r="Q3064" t="n">
        <v>25</v>
      </c>
      <c r="R3064" t="n">
        <v>0.03986</v>
      </c>
      <c r="S3064">
        <f>IMAGE("https://mitra.stanford.edu/kundaje/oak/projects/neuro-variants/variant_position/credible/roussos_2024/variant_figures/roussos_2024.infant.GLU/rs223395_count_position.png",4,220,900)</f>
        <v/>
      </c>
      <c r="T3064">
        <f>IMAGE("https://mitra.stanford.edu/kundaje/oak/projects/neuro-variants/variant_position/credible/roussos_2024/variant_figures/roussos_2024.infant.GLU/rs223395_profile_position.png",4,220,900)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0.01440582738</v>
      </c>
      <c r="G3065" t="n">
        <v>0.5390520129684675</v>
      </c>
      <c r="H3065" t="n">
        <v>0.012615745699742</v>
      </c>
      <c r="I3065" t="n">
        <v>0.5128538345524601</v>
      </c>
      <c r="J3065" t="n">
        <v>0.1160640666681363</v>
      </c>
      <c r="K3065" t="n">
        <v>0.1822781086150254</v>
      </c>
      <c r="L3065" t="b">
        <v>0</v>
      </c>
      <c r="M3065" t="b">
        <v>0</v>
      </c>
      <c r="N3065" t="inlineStr">
        <is>
          <t>alt</t>
        </is>
      </c>
      <c r="O3065" t="n">
        <v>-100</v>
      </c>
      <c r="P3065" t="n">
        <v>0.11975</v>
      </c>
      <c r="Q3065" t="n">
        <v>-95</v>
      </c>
      <c r="R3065" t="n">
        <v>0.288</v>
      </c>
      <c r="S3065">
        <f>IMAGE("https://mitra.stanford.edu/kundaje/oak/projects/neuro-variants/variant_position/credible/roussos_2024/variant_figures/roussos_2024.infant.GLU/rs223380_count_position.png",4,220,900)</f>
        <v/>
      </c>
      <c r="T3065">
        <f>IMAGE("https://mitra.stanford.edu/kundaje/oak/projects/neuro-variants/variant_position/credible/roussos_2024/variant_figures/roussos_2024.infant.GLU/rs223380_profile_position.png",4,220,900)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0.0213494715999999</v>
      </c>
      <c r="G3066" t="n">
        <v>0.416049681340585</v>
      </c>
      <c r="H3066" t="n">
        <v>0.0501948702850742</v>
      </c>
      <c r="I3066" t="n">
        <v>0.0077305599197876</v>
      </c>
      <c r="J3066" t="n">
        <v>0.009817235829713901</v>
      </c>
      <c r="K3066" t="n">
        <v>0.66286346884559</v>
      </c>
      <c r="L3066" t="b">
        <v>0</v>
      </c>
      <c r="M3066" t="b">
        <v>0</v>
      </c>
      <c r="N3066" t="inlineStr">
        <is>
          <t>alt</t>
        </is>
      </c>
      <c r="O3066" t="n">
        <v>-65</v>
      </c>
      <c r="P3066" t="n">
        <v>0.007324</v>
      </c>
      <c r="Q3066" t="n">
        <v>80</v>
      </c>
      <c r="R3066" t="n">
        <v>0.05298</v>
      </c>
      <c r="S3066">
        <f>IMAGE("https://mitra.stanford.edu/kundaje/oak/projects/neuro-variants/variant_position/credible/roussos_2024/variant_figures/roussos_2024.infant.GLU/rs223359_count_position.png",4,220,900)</f>
        <v/>
      </c>
      <c r="T3066">
        <f>IMAGE("https://mitra.stanford.edu/kundaje/oak/projects/neuro-variants/variant_position/credible/roussos_2024/variant_figures/roussos_2024.infant.GLU/rs223359_profile_position.png",4,220,900)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-0.0165712997</v>
      </c>
      <c r="G3067" t="n">
        <v>0.5006864956095074</v>
      </c>
      <c r="H3067" t="n">
        <v>0.0601462206494902</v>
      </c>
      <c r="I3067" t="n">
        <v>0.0030603407734516</v>
      </c>
      <c r="J3067" t="n">
        <v>0.0102548557066954</v>
      </c>
      <c r="K3067" t="n">
        <v>0.6680406276602768</v>
      </c>
      <c r="L3067" t="b">
        <v>1</v>
      </c>
      <c r="M3067" t="b">
        <v>0</v>
      </c>
      <c r="N3067" t="inlineStr">
        <is>
          <t>ref</t>
        </is>
      </c>
      <c r="O3067" t="n">
        <v>-80</v>
      </c>
      <c r="P3067" t="n">
        <v>0.01367</v>
      </c>
      <c r="Q3067" t="n">
        <v>-95</v>
      </c>
      <c r="R3067" t="n">
        <v>0.1107</v>
      </c>
      <c r="S3067">
        <f>IMAGE("https://mitra.stanford.edu/kundaje/oak/projects/neuro-variants/variant_position/credible/roussos_2024/variant_figures/roussos_2024.infant.GLU/rs223357_count_position.png",4,220,900)</f>
        <v/>
      </c>
      <c r="T3067">
        <f>IMAGE("https://mitra.stanford.edu/kundaje/oak/projects/neuro-variants/variant_position/credible/roussos_2024/variant_figures/roussos_2024.infant.GLU/rs223357_profile_position.png",4,220,900)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0.0353689857999999</v>
      </c>
      <c r="G3068" t="n">
        <v>0.2740016602951984</v>
      </c>
      <c r="H3068" t="n">
        <v>0.0244125495573447</v>
      </c>
      <c r="I3068" t="n">
        <v>0.1092017566841784</v>
      </c>
      <c r="J3068" t="n">
        <v>0.1297857095614982</v>
      </c>
      <c r="K3068" t="n">
        <v>0.166654585462761</v>
      </c>
      <c r="L3068" t="b">
        <v>0</v>
      </c>
      <c r="M3068" t="b">
        <v>0</v>
      </c>
      <c r="N3068" t="inlineStr">
        <is>
          <t>alt</t>
        </is>
      </c>
      <c r="O3068" t="n">
        <v>0</v>
      </c>
      <c r="P3068" t="n">
        <v>0</v>
      </c>
      <c r="Q3068" t="n">
        <v>85</v>
      </c>
      <c r="R3068" t="n">
        <v>0.286</v>
      </c>
      <c r="S3068">
        <f>IMAGE("https://mitra.stanford.edu/kundaje/oak/projects/neuro-variants/variant_position/credible/roussos_2024/variant_figures/roussos_2024.infant.GLU/rs223353_count_position.png",4,220,900)</f>
        <v/>
      </c>
      <c r="T3068">
        <f>IMAGE("https://mitra.stanford.edu/kundaje/oak/projects/neuro-variants/variant_position/credible/roussos_2024/variant_figures/roussos_2024.infant.GLU/rs223353_profile_position.png",4,220,900)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-0.0511942196</v>
      </c>
      <c r="G3069" t="n">
        <v>0.1676243897328563</v>
      </c>
      <c r="H3069" t="n">
        <v>0.010369975038191</v>
      </c>
      <c r="I3069" t="n">
        <v>0.7057184843519292</v>
      </c>
      <c r="J3069" t="n">
        <v>0.0333219427236049</v>
      </c>
      <c r="K3069" t="n">
        <v>0.4266624158332224</v>
      </c>
      <c r="L3069" t="b">
        <v>0</v>
      </c>
      <c r="M3069" t="b">
        <v>0</v>
      </c>
      <c r="N3069" t="inlineStr">
        <is>
          <t>ref</t>
        </is>
      </c>
      <c r="O3069" t="n">
        <v>100</v>
      </c>
      <c r="P3069" t="n">
        <v>0.061</v>
      </c>
      <c r="Q3069" t="n">
        <v>100</v>
      </c>
      <c r="R3069" t="n">
        <v>0.01131</v>
      </c>
      <c r="S3069">
        <f>IMAGE("https://mitra.stanford.edu/kundaje/oak/projects/neuro-variants/variant_position/credible/roussos_2024/variant_figures/roussos_2024.infant.GLU/rs223351_count_position.png",4,220,900)</f>
        <v/>
      </c>
      <c r="T3069">
        <f>IMAGE("https://mitra.stanford.edu/kundaje/oak/projects/neuro-variants/variant_position/credible/roussos_2024/variant_figures/roussos_2024.infant.GLU/rs223351_profile_position.png",4,220,900)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0.00275149584</v>
      </c>
      <c r="G3070" t="n">
        <v>0.8527255424986704</v>
      </c>
      <c r="H3070" t="n">
        <v>0.0412798886471329</v>
      </c>
      <c r="I3070" t="n">
        <v>0.0183251822766387</v>
      </c>
      <c r="J3070" t="n">
        <v>0.0038129147467977</v>
      </c>
      <c r="K3070" t="n">
        <v>0.791841301911371</v>
      </c>
      <c r="L3070" t="b">
        <v>0</v>
      </c>
      <c r="M3070" t="b">
        <v>0</v>
      </c>
      <c r="N3070" t="inlineStr">
        <is>
          <t>alt</t>
        </is>
      </c>
      <c r="O3070" t="n">
        <v>-85</v>
      </c>
      <c r="P3070" t="n">
        <v>0.010254</v>
      </c>
      <c r="Q3070" t="n">
        <v>-75</v>
      </c>
      <c r="R3070" t="n">
        <v>0.0468</v>
      </c>
      <c r="S3070">
        <f>IMAGE("https://mitra.stanford.edu/kundaje/oak/projects/neuro-variants/variant_position/credible/roussos_2024/variant_figures/roussos_2024.infant.GLU/rs223341_count_position.png",4,220,900)</f>
        <v/>
      </c>
      <c r="T3070">
        <f>IMAGE("https://mitra.stanford.edu/kundaje/oak/projects/neuro-variants/variant_position/credible/roussos_2024/variant_figures/roussos_2024.infant.GLU/rs223341_profile_position.png",4,220,900)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-0.0398346014</v>
      </c>
      <c r="G3071" t="n">
        <v>0.2619188763629335</v>
      </c>
      <c r="H3071" t="n">
        <v>0.0308604322113978</v>
      </c>
      <c r="I3071" t="n">
        <v>0.0524342152819821</v>
      </c>
      <c r="J3071" t="n">
        <v>0.9704898697061224</v>
      </c>
      <c r="K3071" t="n">
        <v>0.000446972721248</v>
      </c>
      <c r="L3071" t="b">
        <v>0</v>
      </c>
      <c r="M3071" t="b">
        <v>0</v>
      </c>
      <c r="N3071" t="inlineStr">
        <is>
          <t>ref</t>
        </is>
      </c>
      <c r="O3071" t="n">
        <v>-65</v>
      </c>
      <c r="P3071" t="n">
        <v>0.01672</v>
      </c>
      <c r="Q3071" t="n">
        <v>-55</v>
      </c>
      <c r="R3071" t="n">
        <v>0.083</v>
      </c>
      <c r="S3071">
        <f>IMAGE("https://mitra.stanford.edu/kundaje/oak/projects/neuro-variants/variant_position/credible/roussos_2024/variant_figures/roussos_2024.infant.GLU/rs223332_count_position.png",4,220,900)</f>
        <v/>
      </c>
      <c r="T3071">
        <f>IMAGE("https://mitra.stanford.edu/kundaje/oak/projects/neuro-variants/variant_position/credible/roussos_2024/variant_figures/roussos_2024.infant.GLU/rs223332_profile_position.png",4,220,900)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-0.0167938646599999</v>
      </c>
      <c r="G3072" t="n">
        <v>0.5071568122051623</v>
      </c>
      <c r="H3072" t="n">
        <v>0.0075007943480215</v>
      </c>
      <c r="I3072" t="n">
        <v>0.902977636586876</v>
      </c>
      <c r="J3072" t="n">
        <v>0.0584823298573601</v>
      </c>
      <c r="K3072" t="n">
        <v>0.3146602353708648</v>
      </c>
      <c r="L3072" t="b">
        <v>0</v>
      </c>
      <c r="M3072" t="b">
        <v>0</v>
      </c>
      <c r="N3072" t="inlineStr">
        <is>
          <t>ref</t>
        </is>
      </c>
      <c r="O3072" t="n">
        <v>-95</v>
      </c>
      <c r="P3072" t="n">
        <v>0.03156</v>
      </c>
      <c r="Q3072" t="n">
        <v>-100</v>
      </c>
      <c r="R3072" t="n">
        <v>0.2229</v>
      </c>
      <c r="S3072">
        <f>IMAGE("https://mitra.stanford.edu/kundaje/oak/projects/neuro-variants/variant_position/credible/roussos_2024/variant_figures/roussos_2024.infant.GLU/rs223329_count_position.png",4,220,900)</f>
        <v/>
      </c>
      <c r="T3072">
        <f>IMAGE("https://mitra.stanford.edu/kundaje/oak/projects/neuro-variants/variant_position/credible/roussos_2024/variant_figures/roussos_2024.infant.GLU/rs223329_profile_position.png",4,220,900)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0.0022754477</v>
      </c>
      <c r="G3073" t="n">
        <v>0.5359481801082134</v>
      </c>
      <c r="H3073" t="n">
        <v>0.009296015660990999</v>
      </c>
      <c r="I3073" t="n">
        <v>0.7946412166671446</v>
      </c>
      <c r="J3073" t="n">
        <v>0.0322075001653475</v>
      </c>
      <c r="K3073" t="n">
        <v>0.4345693024218485</v>
      </c>
      <c r="L3073" t="b">
        <v>0</v>
      </c>
      <c r="M3073" t="b">
        <v>0</v>
      </c>
      <c r="N3073" t="inlineStr">
        <is>
          <t>alt</t>
        </is>
      </c>
      <c r="O3073" t="n">
        <v>-90</v>
      </c>
      <c r="P3073" t="n">
        <v>0.07275</v>
      </c>
      <c r="Q3073" t="n">
        <v>70</v>
      </c>
      <c r="R3073" t="n">
        <v>0.05743</v>
      </c>
      <c r="S3073">
        <f>IMAGE("https://mitra.stanford.edu/kundaje/oak/projects/neuro-variants/variant_position/credible/roussos_2024/variant_figures/roussos_2024.infant.GLU/rs223311_count_position.png",4,220,900)</f>
        <v/>
      </c>
      <c r="T3073">
        <f>IMAGE("https://mitra.stanford.edu/kundaje/oak/projects/neuro-variants/variant_position/credible/roussos_2024/variant_figures/roussos_2024.infant.GLU/rs223311_profile_position.png",4,220,900)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0.0222483979999999</v>
      </c>
      <c r="G3074" t="n">
        <v>0.4091777579232711</v>
      </c>
      <c r="H3074" t="n">
        <v>0.0130639465836519</v>
      </c>
      <c r="I3074" t="n">
        <v>0.4778412946793476</v>
      </c>
      <c r="J3074" t="n">
        <v>0.0291243193192089</v>
      </c>
      <c r="K3074" t="n">
        <v>0.4696007930449121</v>
      </c>
      <c r="L3074" t="b">
        <v>0</v>
      </c>
      <c r="M3074" t="b">
        <v>0</v>
      </c>
      <c r="N3074" t="inlineStr">
        <is>
          <t>alt</t>
        </is>
      </c>
      <c r="O3074" t="n">
        <v>90</v>
      </c>
      <c r="P3074" t="n">
        <v>0.007934999999999999</v>
      </c>
      <c r="Q3074" t="n">
        <v>-100</v>
      </c>
      <c r="R3074" t="n">
        <v>0.1162</v>
      </c>
      <c r="S3074">
        <f>IMAGE("https://mitra.stanford.edu/kundaje/oak/projects/neuro-variants/variant_position/credible/roussos_2024/variant_figures/roussos_2024.infant.GLU/rs223310_count_position.png",4,220,900)</f>
        <v/>
      </c>
      <c r="T3074">
        <f>IMAGE("https://mitra.stanford.edu/kundaje/oak/projects/neuro-variants/variant_position/credible/roussos_2024/variant_figures/roussos_2024.infant.GLU/rs223310_profile_position.png",4,220,900)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0.038846431</v>
      </c>
      <c r="G3075" t="n">
        <v>0.2295412737402277</v>
      </c>
      <c r="H3075" t="n">
        <v>0.0076158479655933</v>
      </c>
      <c r="I3075" t="n">
        <v>0.936436537821822</v>
      </c>
      <c r="J3075" t="n">
        <v>0.008930972905046301</v>
      </c>
      <c r="K3075" t="n">
        <v>0.6783355408041172</v>
      </c>
      <c r="L3075" t="b">
        <v>0</v>
      </c>
      <c r="M3075" t="b">
        <v>0</v>
      </c>
      <c r="N3075" t="inlineStr">
        <is>
          <t>alt</t>
        </is>
      </c>
      <c r="O3075" t="n">
        <v>-75</v>
      </c>
      <c r="P3075" t="n">
        <v>0.01717</v>
      </c>
      <c r="Q3075" t="n">
        <v>-55</v>
      </c>
      <c r="R3075" t="n">
        <v>0.0354</v>
      </c>
      <c r="S3075">
        <f>IMAGE("https://mitra.stanford.edu/kundaje/oak/projects/neuro-variants/variant_position/credible/roussos_2024/variant_figures/roussos_2024.infant.GLU/rs6830407_count_position.png",4,220,900)</f>
        <v/>
      </c>
      <c r="T3075">
        <f>IMAGE("https://mitra.stanford.edu/kundaje/oak/projects/neuro-variants/variant_position/credible/roussos_2024/variant_figures/roussos_2024.infant.GLU/rs6830407_profile_position.png",4,220,900)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0.0037873882399999</v>
      </c>
      <c r="G3076" t="n">
        <v>0.6533906094360104</v>
      </c>
      <c r="H3076" t="n">
        <v>0.0455589286674854</v>
      </c>
      <c r="I3076" t="n">
        <v>0.0117001506192759</v>
      </c>
      <c r="J3076" t="n">
        <v>0.0350084878414426</v>
      </c>
      <c r="K3076" t="n">
        <v>0.4156498416442291</v>
      </c>
      <c r="L3076" t="b">
        <v>1</v>
      </c>
      <c r="M3076" t="b">
        <v>0</v>
      </c>
      <c r="N3076" t="inlineStr">
        <is>
          <t>alt</t>
        </is>
      </c>
      <c r="O3076" t="n">
        <v>100</v>
      </c>
      <c r="P3076" t="n">
        <v>0.03833</v>
      </c>
      <c r="Q3076" t="n">
        <v>70</v>
      </c>
      <c r="R3076" t="n">
        <v>0.1494</v>
      </c>
      <c r="S3076">
        <f>IMAGE("https://mitra.stanford.edu/kundaje/oak/projects/neuro-variants/variant_position/credible/roussos_2024/variant_figures/roussos_2024.infant.GLU/rs10012413_count_position.png",4,220,900)</f>
        <v/>
      </c>
      <c r="T3076">
        <f>IMAGE("https://mitra.stanford.edu/kundaje/oak/projects/neuro-variants/variant_position/credible/roussos_2024/variant_figures/roussos_2024.infant.GLU/rs10012413_profile_position.png",4,220,900)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0.121899634</v>
      </c>
      <c r="G3077" t="n">
        <v>0.0367564545778318</v>
      </c>
      <c r="H3077" t="n">
        <v>0.0233578400549896</v>
      </c>
      <c r="I3077" t="n">
        <v>0.1295622360783099</v>
      </c>
      <c r="J3077" t="n">
        <v>0.0292554950505962</v>
      </c>
      <c r="K3077" t="n">
        <v>0.4756726311350929</v>
      </c>
      <c r="L3077" t="b">
        <v>0</v>
      </c>
      <c r="M3077" t="b">
        <v>0</v>
      </c>
      <c r="N3077" t="inlineStr">
        <is>
          <t>alt</t>
        </is>
      </c>
      <c r="O3077" t="n">
        <v>-65</v>
      </c>
      <c r="P3077" t="n">
        <v>0.00557</v>
      </c>
      <c r="Q3077" t="n">
        <v>40</v>
      </c>
      <c r="R3077" t="n">
        <v>0.09569999999999999</v>
      </c>
      <c r="S3077">
        <f>IMAGE("https://mitra.stanford.edu/kundaje/oak/projects/neuro-variants/variant_position/credible/roussos_2024/variant_figures/roussos_2024.infant.GLU/rs4699033_count_position.png",4,220,900)</f>
        <v/>
      </c>
      <c r="T3077">
        <f>IMAGE("https://mitra.stanford.edu/kundaje/oak/projects/neuro-variants/variant_position/credible/roussos_2024/variant_figures/roussos_2024.infant.GLU/rs4699033_profile_position.png",4,220,900)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-0.0523797944</v>
      </c>
      <c r="G3078" t="n">
        <v>0.1574946051713567</v>
      </c>
      <c r="H3078" t="n">
        <v>0.0084807433517286</v>
      </c>
      <c r="I3078" t="n">
        <v>0.8750430533872722</v>
      </c>
      <c r="J3078" t="n">
        <v>0.0351484821093939</v>
      </c>
      <c r="K3078" t="n">
        <v>0.4148386639423638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0.02148</v>
      </c>
      <c r="Q3078" t="n">
        <v>-15</v>
      </c>
      <c r="R3078" t="n">
        <v>0.01172</v>
      </c>
      <c r="S3078">
        <f>IMAGE("https://mitra.stanford.edu/kundaje/oak/projects/neuro-variants/variant_position/credible/roussos_2024/variant_figures/roussos_2024.infant.GLU/rs6821247_count_position.png",4,220,900)</f>
        <v/>
      </c>
      <c r="T3078">
        <f>IMAGE("https://mitra.stanford.edu/kundaje/oak/projects/neuro-variants/variant_position/credible/roussos_2024/variant_figures/roussos_2024.infant.GLU/rs6821247_profile_position.png",4,220,900)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0.1118115452</v>
      </c>
      <c r="G3079" t="n">
        <v>0.0442161840731099</v>
      </c>
      <c r="H3079" t="n">
        <v>0.0214485094119851</v>
      </c>
      <c r="I3079" t="n">
        <v>0.1594588983287712</v>
      </c>
      <c r="J3079" t="n">
        <v>0.0460922859851407</v>
      </c>
      <c r="K3079" t="n">
        <v>0.3631490862926951</v>
      </c>
      <c r="L3079" t="b">
        <v>0</v>
      </c>
      <c r="M3079" t="b">
        <v>0</v>
      </c>
      <c r="N3079" t="inlineStr">
        <is>
          <t>alt</t>
        </is>
      </c>
      <c r="O3079" t="n">
        <v>100</v>
      </c>
      <c r="P3079" t="n">
        <v>0.01323</v>
      </c>
      <c r="Q3079" t="n">
        <v>-75</v>
      </c>
      <c r="R3079" t="n">
        <v>0.06726</v>
      </c>
      <c r="S3079">
        <f>IMAGE("https://mitra.stanford.edu/kundaje/oak/projects/neuro-variants/variant_position/credible/roussos_2024/variant_figures/roussos_2024.infant.GLU/rs59550147_count_position.png",4,220,900)</f>
        <v/>
      </c>
      <c r="T3079">
        <f>IMAGE("https://mitra.stanford.edu/kundaje/oak/projects/neuro-variants/variant_position/credible/roussos_2024/variant_figures/roussos_2024.infant.GLU/rs59550147_profile_position.png",4,220,900)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-0.058655402</v>
      </c>
      <c r="G3080" t="n">
        <v>0.132900378750503</v>
      </c>
      <c r="H3080" t="n">
        <v>0.0133290618739191</v>
      </c>
      <c r="I3080" t="n">
        <v>0.4609060541332018</v>
      </c>
      <c r="J3080" t="n">
        <v>0.0206430917789192</v>
      </c>
      <c r="K3080" t="n">
        <v>0.5334661877013371</v>
      </c>
      <c r="L3080" t="b">
        <v>0</v>
      </c>
      <c r="M3080" t="b">
        <v>0</v>
      </c>
      <c r="N3080" t="inlineStr">
        <is>
          <t>ref</t>
        </is>
      </c>
      <c r="O3080" t="n">
        <v>100</v>
      </c>
      <c r="P3080" t="n">
        <v>0.01834</v>
      </c>
      <c r="Q3080" t="n">
        <v>-100</v>
      </c>
      <c r="R3080" t="n">
        <v>0.2048</v>
      </c>
      <c r="S3080">
        <f>IMAGE("https://mitra.stanford.edu/kundaje/oak/projects/neuro-variants/variant_position/credible/roussos_2024/variant_figures/roussos_2024.infant.GLU/rs7437714_count_position.png",4,220,900)</f>
        <v/>
      </c>
      <c r="T3080">
        <f>IMAGE("https://mitra.stanford.edu/kundaje/oak/projects/neuro-variants/variant_position/credible/roussos_2024/variant_figures/roussos_2024.infant.GLU/rs7437714_profile_position.png",4,220,900)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-0.005099823842</v>
      </c>
      <c r="G3081" t="n">
        <v>0.7033291234067035</v>
      </c>
      <c r="H3081" t="n">
        <v>0.0123120490201553</v>
      </c>
      <c r="I3081" t="n">
        <v>0.5374080585283209</v>
      </c>
      <c r="J3081" t="n">
        <v>0.0168026191053594</v>
      </c>
      <c r="K3081" t="n">
        <v>0.5675343416001171</v>
      </c>
      <c r="L3081" t="b">
        <v>0</v>
      </c>
      <c r="M3081" t="b">
        <v>0</v>
      </c>
      <c r="N3081" t="inlineStr">
        <is>
          <t>ref</t>
        </is>
      </c>
      <c r="O3081" t="n">
        <v>100</v>
      </c>
      <c r="P3081" t="n">
        <v>0.02327</v>
      </c>
      <c r="Q3081" t="n">
        <v>100</v>
      </c>
      <c r="R3081" t="n">
        <v>0.2874</v>
      </c>
      <c r="S3081">
        <f>IMAGE("https://mitra.stanford.edu/kundaje/oak/projects/neuro-variants/variant_position/credible/roussos_2024/variant_figures/roussos_2024.infant.GLU/rs3974602_count_position.png",4,220,900)</f>
        <v/>
      </c>
      <c r="T3081">
        <f>IMAGE("https://mitra.stanford.edu/kundaje/oak/projects/neuro-variants/variant_position/credible/roussos_2024/variant_figures/roussos_2024.infant.GLU/rs3974602_profile_position.png",4,220,900)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-0.03586820375</v>
      </c>
      <c r="G3082" t="n">
        <v>0.2645206979626409</v>
      </c>
      <c r="H3082" t="n">
        <v>0.0129636412422116</v>
      </c>
      <c r="I3082" t="n">
        <v>0.4985367406792972</v>
      </c>
      <c r="J3082" t="n">
        <v>0.0116658215569125</v>
      </c>
      <c r="K3082" t="n">
        <v>0.6368345985977535</v>
      </c>
      <c r="L3082" t="b">
        <v>0</v>
      </c>
      <c r="M3082" t="b">
        <v>0</v>
      </c>
      <c r="N3082" t="inlineStr">
        <is>
          <t>ref</t>
        </is>
      </c>
      <c r="O3082" t="n">
        <v>45</v>
      </c>
      <c r="P3082" t="n">
        <v>0.00631</v>
      </c>
      <c r="Q3082" t="n">
        <v>-15</v>
      </c>
      <c r="R3082" t="n">
        <v>0.00641</v>
      </c>
      <c r="S3082">
        <f>IMAGE("https://mitra.stanford.edu/kundaje/oak/projects/neuro-variants/variant_position/credible/roussos_2024/variant_figures/roussos_2024.infant.GLU/rs7676943_count_position.png",4,220,900)</f>
        <v/>
      </c>
      <c r="T3082">
        <f>IMAGE("https://mitra.stanford.edu/kundaje/oak/projects/neuro-variants/variant_position/credible/roussos_2024/variant_figures/roussos_2024.infant.GLU/rs7676943_profile_position.png",4,220,900)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0.015250129</v>
      </c>
      <c r="G3083" t="n">
        <v>0.515440266076822</v>
      </c>
      <c r="H3083" t="n">
        <v>0.0102237121704838</v>
      </c>
      <c r="I3083" t="n">
        <v>0.7142950954235614</v>
      </c>
      <c r="J3083" t="n">
        <v>0.0112359178994245</v>
      </c>
      <c r="K3083" t="n">
        <v>0.644854083195599</v>
      </c>
      <c r="L3083" t="b">
        <v>0</v>
      </c>
      <c r="M3083" t="b">
        <v>0</v>
      </c>
      <c r="N3083" t="inlineStr">
        <is>
          <t>alt</t>
        </is>
      </c>
      <c r="O3083" t="n">
        <v>50</v>
      </c>
      <c r="P3083" t="n">
        <v>0.004704</v>
      </c>
      <c r="Q3083" t="n">
        <v>-100</v>
      </c>
      <c r="R3083" t="n">
        <v>0.1077</v>
      </c>
      <c r="S3083">
        <f>IMAGE("https://mitra.stanford.edu/kundaje/oak/projects/neuro-variants/variant_position/credible/roussos_2024/variant_figures/roussos_2024.infant.GLU/rs4446311_count_position.png",4,220,900)</f>
        <v/>
      </c>
      <c r="T3083">
        <f>IMAGE("https://mitra.stanford.edu/kundaje/oak/projects/neuro-variants/variant_position/credible/roussos_2024/variant_figures/roussos_2024.infant.GLU/rs4446311_profile_position.png",4,220,900)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0.0510207174</v>
      </c>
      <c r="G3084" t="n">
        <v>0.1798461775921436</v>
      </c>
      <c r="H3084" t="n">
        <v>0.0446408855718431</v>
      </c>
      <c r="I3084" t="n">
        <v>0.0125841372109294</v>
      </c>
      <c r="J3084" t="n">
        <v>0.0185861681253995</v>
      </c>
      <c r="K3084" t="n">
        <v>0.553422585299993</v>
      </c>
      <c r="L3084" t="b">
        <v>1</v>
      </c>
      <c r="M3084" t="b">
        <v>0</v>
      </c>
      <c r="N3084" t="inlineStr">
        <is>
          <t>alt</t>
        </is>
      </c>
      <c r="O3084" t="n">
        <v>-95</v>
      </c>
      <c r="P3084" t="n">
        <v>0.009124999999999999</v>
      </c>
      <c r="Q3084" t="n">
        <v>100</v>
      </c>
      <c r="R3084" t="n">
        <v>0.05316</v>
      </c>
      <c r="S3084">
        <f>IMAGE("https://mitra.stanford.edu/kundaje/oak/projects/neuro-variants/variant_position/credible/roussos_2024/variant_figures/roussos_2024.infant.GLU/rs6419160_count_position.png",4,220,900)</f>
        <v/>
      </c>
      <c r="T3084">
        <f>IMAGE("https://mitra.stanford.edu/kundaje/oak/projects/neuro-variants/variant_position/credible/roussos_2024/variant_figures/roussos_2024.infant.GLU/rs6419160_profile_position.png",4,220,900)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-0.1485619779999999</v>
      </c>
      <c r="G3085" t="n">
        <v>0.0217020325578475</v>
      </c>
      <c r="H3085" t="n">
        <v>0.0700478749655296</v>
      </c>
      <c r="I3085" t="n">
        <v>0.0013387844890289</v>
      </c>
      <c r="J3085" t="n">
        <v>0.073555413479133</v>
      </c>
      <c r="K3085" t="n">
        <v>0.2591150193753715</v>
      </c>
      <c r="L3085" t="b">
        <v>1</v>
      </c>
      <c r="M3085" t="b">
        <v>1</v>
      </c>
      <c r="N3085" t="inlineStr">
        <is>
          <t>ref</t>
        </is>
      </c>
      <c r="O3085" t="n">
        <v>85</v>
      </c>
      <c r="P3085" t="n">
        <v>0.001831</v>
      </c>
      <c r="Q3085" t="n">
        <v>30</v>
      </c>
      <c r="R3085" t="n">
        <v>0.03638</v>
      </c>
      <c r="S3085">
        <f>IMAGE("https://mitra.stanford.edu/kundaje/oak/projects/neuro-variants/variant_position/credible/roussos_2024/variant_figures/roussos_2024.infant.GLU/rs10017565_count_position.png",4,220,900)</f>
        <v/>
      </c>
      <c r="T3085">
        <f>IMAGE("https://mitra.stanford.edu/kundaje/oak/projects/neuro-variants/variant_position/credible/roussos_2024/variant_figures/roussos_2024.infant.GLU/rs10017565_profile_position.png",4,220,900)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0.167137762</v>
      </c>
      <c r="G3086" t="n">
        <v>0.0180119967985821</v>
      </c>
      <c r="H3086" t="n">
        <v>0.0412867267200527</v>
      </c>
      <c r="I3086" t="n">
        <v>0.0180359263178236</v>
      </c>
      <c r="J3086" t="n">
        <v>0.1238861086002777</v>
      </c>
      <c r="K3086" t="n">
        <v>0.1745198163368539</v>
      </c>
      <c r="L3086" t="b">
        <v>1</v>
      </c>
      <c r="M3086" t="b">
        <v>0</v>
      </c>
      <c r="N3086" t="inlineStr">
        <is>
          <t>alt</t>
        </is>
      </c>
      <c r="O3086" t="n">
        <v>65</v>
      </c>
      <c r="P3086" t="n">
        <v>0.02849</v>
      </c>
      <c r="Q3086" t="n">
        <v>40</v>
      </c>
      <c r="R3086" t="n">
        <v>0.05298</v>
      </c>
      <c r="S3086">
        <f>IMAGE("https://mitra.stanford.edu/kundaje/oak/projects/neuro-variants/variant_position/credible/roussos_2024/variant_figures/roussos_2024.infant.GLU/rs11724035_count_position.png",4,220,900)</f>
        <v/>
      </c>
      <c r="T3086">
        <f>IMAGE("https://mitra.stanford.edu/kundaje/oak/projects/neuro-variants/variant_position/credible/roussos_2024/variant_figures/roussos_2024.infant.GLU/rs11724035_profile_position.png",4,220,900)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-0.1247930904</v>
      </c>
      <c r="G3087" t="n">
        <v>0.0346870917298035</v>
      </c>
      <c r="H3087" t="n">
        <v>0.0214848740900229</v>
      </c>
      <c r="I3087" t="n">
        <v>0.1627964331052951</v>
      </c>
      <c r="J3087" t="n">
        <v>0.1326197667497078</v>
      </c>
      <c r="K3087" t="n">
        <v>0.1765601122557236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0.0658</v>
      </c>
      <c r="Q3087" t="n">
        <v>100</v>
      </c>
      <c r="R3087" t="n">
        <v>0.09032999999999999</v>
      </c>
      <c r="S3087">
        <f>IMAGE("https://mitra.stanford.edu/kundaje/oak/projects/neuro-variants/variant_position/credible/roussos_2024/variant_figures/roussos_2024.infant.GLU/rs6829718_count_position.png",4,220,900)</f>
        <v/>
      </c>
      <c r="T3087">
        <f>IMAGE("https://mitra.stanford.edu/kundaje/oak/projects/neuro-variants/variant_position/credible/roussos_2024/variant_figures/roussos_2024.infant.GLU/rs6829718_profile_position.png",4,220,900)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0.0667684412</v>
      </c>
      <c r="G3088" t="n">
        <v>0.1317829358484708</v>
      </c>
      <c r="H3088" t="n">
        <v>0.0166129331941942</v>
      </c>
      <c r="I3088" t="n">
        <v>0.3054718316133232</v>
      </c>
      <c r="J3088" t="n">
        <v>0.177942635419652</v>
      </c>
      <c r="K3088" t="n">
        <v>0.1324193876820731</v>
      </c>
      <c r="L3088" t="b">
        <v>0</v>
      </c>
      <c r="M3088" t="b">
        <v>0</v>
      </c>
      <c r="N3088" t="inlineStr">
        <is>
          <t>alt</t>
        </is>
      </c>
      <c r="O3088" t="n">
        <v>-95</v>
      </c>
      <c r="P3088" t="n">
        <v>0.001068</v>
      </c>
      <c r="Q3088" t="n">
        <v>70</v>
      </c>
      <c r="R3088" t="n">
        <v>0.1112</v>
      </c>
      <c r="S3088">
        <f>IMAGE("https://mitra.stanford.edu/kundaje/oak/projects/neuro-variants/variant_position/credible/roussos_2024/variant_figures/roussos_2024.infant.GLU/rs4235409_count_position.png",4,220,900)</f>
        <v/>
      </c>
      <c r="T3088">
        <f>IMAGE("https://mitra.stanford.edu/kundaje/oak/projects/neuro-variants/variant_position/credible/roussos_2024/variant_figures/roussos_2024.infant.GLU/rs4235409_profile_position.png",4,220,900)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-0.0939980168</v>
      </c>
      <c r="G3089" t="n">
        <v>0.0567054096886887</v>
      </c>
      <c r="H3089" t="n">
        <v>0.0129937123114813</v>
      </c>
      <c r="I3089" t="n">
        <v>0.4828000275619571</v>
      </c>
      <c r="J3089" t="n">
        <v>0.0275821777376044</v>
      </c>
      <c r="K3089" t="n">
        <v>0.4682109258347881</v>
      </c>
      <c r="L3089" t="b">
        <v>0</v>
      </c>
      <c r="M3089" t="b">
        <v>0</v>
      </c>
      <c r="N3089" t="inlineStr">
        <is>
          <t>ref</t>
        </is>
      </c>
      <c r="O3089" t="n">
        <v>-100</v>
      </c>
      <c r="P3089" t="n">
        <v>0.02682</v>
      </c>
      <c r="Q3089" t="n">
        <v>-10</v>
      </c>
      <c r="R3089" t="n">
        <v>0.01465</v>
      </c>
      <c r="S3089">
        <f>IMAGE("https://mitra.stanford.edu/kundaje/oak/projects/neuro-variants/variant_position/credible/roussos_2024/variant_figures/roussos_2024.infant.GLU/rs3857198_count_position.png",4,220,900)</f>
        <v/>
      </c>
      <c r="T3089">
        <f>IMAGE("https://mitra.stanford.edu/kundaje/oak/projects/neuro-variants/variant_position/credible/roussos_2024/variant_figures/roussos_2024.infant.GLU/rs3857198_profile_position.png",4,220,900)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-0.0519433701999999</v>
      </c>
      <c r="G3090" t="n">
        <v>0.1588039552207744</v>
      </c>
      <c r="H3090" t="n">
        <v>0.0407108350543447</v>
      </c>
      <c r="I3090" t="n">
        <v>0.0187616334803777</v>
      </c>
      <c r="J3090" t="n">
        <v>0.2618763641173747</v>
      </c>
      <c r="K3090" t="n">
        <v>0.08012141047162979</v>
      </c>
      <c r="L3090" t="b">
        <v>1</v>
      </c>
      <c r="M3090" t="b">
        <v>0</v>
      </c>
      <c r="N3090" t="inlineStr">
        <is>
          <t>ref</t>
        </is>
      </c>
      <c r="O3090" t="n">
        <v>95</v>
      </c>
      <c r="P3090" t="n">
        <v>0.009310000000000001</v>
      </c>
      <c r="Q3090" t="n">
        <v>40</v>
      </c>
      <c r="R3090" t="n">
        <v>0.06775</v>
      </c>
      <c r="S3090">
        <f>IMAGE("https://mitra.stanford.edu/kundaje/oak/projects/neuro-variants/variant_position/credible/roussos_2024/variant_figures/roussos_2024.infant.GLU/rs4698867_count_position.png",4,220,900)</f>
        <v/>
      </c>
      <c r="T3090">
        <f>IMAGE("https://mitra.stanford.edu/kundaje/oak/projects/neuro-variants/variant_position/credible/roussos_2024/variant_figures/roussos_2024.infant.GLU/rs4698867_profile_position.png",4,220,900)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0.0551509574</v>
      </c>
      <c r="G3091" t="n">
        <v>0.1420354015486586</v>
      </c>
      <c r="H3091" t="n">
        <v>0.0086739479988502</v>
      </c>
      <c r="I3091" t="n">
        <v>0.8348263215856608</v>
      </c>
      <c r="J3091" t="n">
        <v>0.0404076368526642</v>
      </c>
      <c r="K3091" t="n">
        <v>0.3936669928197109</v>
      </c>
      <c r="L3091" t="b">
        <v>0</v>
      </c>
      <c r="M3091" t="b">
        <v>0</v>
      </c>
      <c r="N3091" t="inlineStr">
        <is>
          <t>alt</t>
        </is>
      </c>
      <c r="O3091" t="n">
        <v>65</v>
      </c>
      <c r="P3091" t="n">
        <v>0.05103</v>
      </c>
      <c r="Q3091" t="n">
        <v>100</v>
      </c>
      <c r="R3091" t="n">
        <v>0.03516</v>
      </c>
      <c r="S3091">
        <f>IMAGE("https://mitra.stanford.edu/kundaje/oak/projects/neuro-variants/variant_position/credible/roussos_2024/variant_figures/roussos_2024.infant.GLU/rs7659468_count_position.png",4,220,900)</f>
        <v/>
      </c>
      <c r="T3091">
        <f>IMAGE("https://mitra.stanford.edu/kundaje/oak/projects/neuro-variants/variant_position/credible/roussos_2024/variant_figures/roussos_2024.infant.GLU/rs7659468_profile_position.png",4,220,900)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0.0774078178</v>
      </c>
      <c r="G3092" t="n">
        <v>0.1065895194200464</v>
      </c>
      <c r="H3092" t="n">
        <v>0.0151262057346244</v>
      </c>
      <c r="I3092" t="n">
        <v>0.3559307081814949</v>
      </c>
      <c r="J3092" t="n">
        <v>0.0024636786525275</v>
      </c>
      <c r="K3092" t="n">
        <v>0.8170989622780829</v>
      </c>
      <c r="L3092" t="b">
        <v>0</v>
      </c>
      <c r="M3092" t="b">
        <v>0</v>
      </c>
      <c r="N3092" t="inlineStr">
        <is>
          <t>alt</t>
        </is>
      </c>
      <c r="O3092" t="n">
        <v>100</v>
      </c>
      <c r="P3092" t="n">
        <v>0.01859</v>
      </c>
      <c r="Q3092" t="n">
        <v>-65</v>
      </c>
      <c r="R3092" t="n">
        <v>0.07886</v>
      </c>
      <c r="S3092">
        <f>IMAGE("https://mitra.stanford.edu/kundaje/oak/projects/neuro-variants/variant_position/credible/roussos_2024/variant_figures/roussos_2024.infant.GLU/rs4699044_count_position.png",4,220,900)</f>
        <v/>
      </c>
      <c r="T3092">
        <f>IMAGE("https://mitra.stanford.edu/kundaje/oak/projects/neuro-variants/variant_position/credible/roussos_2024/variant_figures/roussos_2024.infant.GLU/rs4699044_profile_position.png",4,220,900)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-0.01709561776</v>
      </c>
      <c r="G3093" t="n">
        <v>0.5335842037397441</v>
      </c>
      <c r="H3093" t="n">
        <v>0.0106221896540133</v>
      </c>
      <c r="I3093" t="n">
        <v>0.657550313023395</v>
      </c>
      <c r="J3093" t="n">
        <v>0.0021065279216913</v>
      </c>
      <c r="K3093" t="n">
        <v>0.8512686429246122</v>
      </c>
      <c r="L3093" t="b">
        <v>0</v>
      </c>
      <c r="M3093" t="b">
        <v>0</v>
      </c>
      <c r="N3093" t="inlineStr">
        <is>
          <t>ref</t>
        </is>
      </c>
      <c r="O3093" t="n">
        <v>95</v>
      </c>
      <c r="P3093" t="n">
        <v>0.00595</v>
      </c>
      <c r="Q3093" t="n">
        <v>-60</v>
      </c>
      <c r="R3093" t="n">
        <v>0.1763</v>
      </c>
      <c r="S3093">
        <f>IMAGE("https://mitra.stanford.edu/kundaje/oak/projects/neuro-variants/variant_position/credible/roussos_2024/variant_figures/roussos_2024.infant.GLU/rs12508069_count_position.png",4,220,900)</f>
        <v/>
      </c>
      <c r="T3093">
        <f>IMAGE("https://mitra.stanford.edu/kundaje/oak/projects/neuro-variants/variant_position/credible/roussos_2024/variant_figures/roussos_2024.infant.GLU/rs12508069_profile_position.png",4,220,900)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-0.0436144793999999</v>
      </c>
      <c r="G3094" t="n">
        <v>0.220768059519278</v>
      </c>
      <c r="H3094" t="n">
        <v>0.045905030422403</v>
      </c>
      <c r="I3094" t="n">
        <v>0.0112913694555346</v>
      </c>
      <c r="J3094" t="n">
        <v>0.0322240349214047</v>
      </c>
      <c r="K3094" t="n">
        <v>0.438437840306238</v>
      </c>
      <c r="L3094" t="b">
        <v>1</v>
      </c>
      <c r="M3094" t="b">
        <v>0</v>
      </c>
      <c r="N3094" t="inlineStr">
        <is>
          <t>ref</t>
        </is>
      </c>
      <c r="O3094" t="n">
        <v>-25</v>
      </c>
      <c r="P3094" t="n">
        <v>0.00818</v>
      </c>
      <c r="Q3094" t="n">
        <v>-20</v>
      </c>
      <c r="R3094" t="n">
        <v>0.05627</v>
      </c>
      <c r="S3094">
        <f>IMAGE("https://mitra.stanford.edu/kundaje/oak/projects/neuro-variants/variant_position/credible/roussos_2024/variant_figures/roussos_2024.infant.GLU/rs7688940_count_position.png",4,220,900)</f>
        <v/>
      </c>
      <c r="T3094">
        <f>IMAGE("https://mitra.stanford.edu/kundaje/oak/projects/neuro-variants/variant_position/credible/roussos_2024/variant_figures/roussos_2024.infant.GLU/rs7688940_profile_position.png",4,220,900)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0.1961811119999999</v>
      </c>
      <c r="G3095" t="n">
        <v>0.0109582037695374</v>
      </c>
      <c r="H3095" t="n">
        <v>0.028034389428122</v>
      </c>
      <c r="I3095" t="n">
        <v>0.0731686808731998</v>
      </c>
      <c r="J3095" t="n">
        <v>0.0117782578981017</v>
      </c>
      <c r="K3095" t="n">
        <v>0.6344690503657853</v>
      </c>
      <c r="L3095" t="b">
        <v>1</v>
      </c>
      <c r="M3095" t="b">
        <v>0</v>
      </c>
      <c r="N3095" t="inlineStr">
        <is>
          <t>alt</t>
        </is>
      </c>
      <c r="O3095" t="n">
        <v>-100</v>
      </c>
      <c r="P3095" t="n">
        <v>0.0329</v>
      </c>
      <c r="Q3095" t="n">
        <v>-75</v>
      </c>
      <c r="R3095" t="n">
        <v>0.05713</v>
      </c>
      <c r="S3095">
        <f>IMAGE("https://mitra.stanford.edu/kundaje/oak/projects/neuro-variants/variant_position/credible/roussos_2024/variant_figures/roussos_2024.infant.GLU/rs13117110_count_position.png",4,220,900)</f>
        <v/>
      </c>
      <c r="T3095">
        <f>IMAGE("https://mitra.stanford.edu/kundaje/oak/projects/neuro-variants/variant_position/credible/roussos_2024/variant_figures/roussos_2024.infant.GLU/rs13117110_profile_position.png",4,220,900)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-0.01394709502</v>
      </c>
      <c r="G3096" t="n">
        <v>0.5687610313902143</v>
      </c>
      <c r="H3096" t="n">
        <v>0.0110106516320329</v>
      </c>
      <c r="I3096" t="n">
        <v>0.6457789726537271</v>
      </c>
      <c r="J3096" t="n">
        <v>0.0024482462135408</v>
      </c>
      <c r="K3096" t="n">
        <v>0.8492816867021018</v>
      </c>
      <c r="L3096" t="b">
        <v>0</v>
      </c>
      <c r="M3096" t="b">
        <v>0</v>
      </c>
      <c r="N3096" t="inlineStr">
        <is>
          <t>ref</t>
        </is>
      </c>
      <c r="O3096" t="n">
        <v>95</v>
      </c>
      <c r="P3096" t="n">
        <v>0.01727</v>
      </c>
      <c r="Q3096" t="n">
        <v>25</v>
      </c>
      <c r="R3096" t="n">
        <v>0.02939</v>
      </c>
      <c r="S3096">
        <f>IMAGE("https://mitra.stanford.edu/kundaje/oak/projects/neuro-variants/variant_position/credible/roussos_2024/variant_figures/roussos_2024.infant.GLU/rs7695096_count_position.png",4,220,900)</f>
        <v/>
      </c>
      <c r="T3096">
        <f>IMAGE("https://mitra.stanford.edu/kundaje/oak/projects/neuro-variants/variant_position/credible/roussos_2024/variant_figures/roussos_2024.infant.GLU/rs7695096_profile_position.png",4,220,900)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-0.0168272578999999</v>
      </c>
      <c r="G3097" t="n">
        <v>0.5032426641837014</v>
      </c>
      <c r="H3097" t="n">
        <v>0.0271665528058152</v>
      </c>
      <c r="I3097" t="n">
        <v>0.07933717733454521</v>
      </c>
      <c r="J3097" t="n">
        <v>0.0393152406358164</v>
      </c>
      <c r="K3097" t="n">
        <v>0.4050435094980618</v>
      </c>
      <c r="L3097" t="b">
        <v>0</v>
      </c>
      <c r="M3097" t="b">
        <v>0</v>
      </c>
      <c r="N3097" t="inlineStr">
        <is>
          <t>ref</t>
        </is>
      </c>
      <c r="O3097" t="n">
        <v>90</v>
      </c>
      <c r="P3097" t="n">
        <v>0.01123</v>
      </c>
      <c r="Q3097" t="n">
        <v>-5</v>
      </c>
      <c r="R3097" t="n">
        <v>0.003052</v>
      </c>
      <c r="S3097">
        <f>IMAGE("https://mitra.stanford.edu/kundaje/oak/projects/neuro-variants/variant_position/credible/roussos_2024/variant_figures/roussos_2024.infant.GLU/rs2905625_count_position.png",4,220,900)</f>
        <v/>
      </c>
      <c r="T3097">
        <f>IMAGE("https://mitra.stanford.edu/kundaje/oak/projects/neuro-variants/variant_position/credible/roussos_2024/variant_figures/roussos_2024.infant.GLU/rs2905625_profile_position.png",4,220,900)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-0.158596924</v>
      </c>
      <c r="G3098" t="n">
        <v>0.0196013659337519</v>
      </c>
      <c r="H3098" t="n">
        <v>0.0239779725406567</v>
      </c>
      <c r="I3098" t="n">
        <v>0.1144666987134237</v>
      </c>
      <c r="J3098" t="n">
        <v>0.0026235146277474</v>
      </c>
      <c r="K3098" t="n">
        <v>0.8353592964641949</v>
      </c>
      <c r="L3098" t="b">
        <v>1</v>
      </c>
      <c r="M3098" t="b">
        <v>0</v>
      </c>
      <c r="N3098" t="inlineStr">
        <is>
          <t>ref</t>
        </is>
      </c>
      <c r="O3098" t="n">
        <v>0</v>
      </c>
      <c r="P3098" t="n">
        <v>0</v>
      </c>
      <c r="Q3098" t="n">
        <v>80</v>
      </c>
      <c r="R3098" t="n">
        <v>0.03174</v>
      </c>
      <c r="S3098">
        <f>IMAGE("https://mitra.stanford.edu/kundaje/oak/projects/neuro-variants/variant_position/credible/roussos_2024/variant_figures/roussos_2024.infant.GLU/rs1875310_count_position.png",4,220,900)</f>
        <v/>
      </c>
      <c r="T3098">
        <f>IMAGE("https://mitra.stanford.edu/kundaje/oak/projects/neuro-variants/variant_position/credible/roussos_2024/variant_figures/roussos_2024.infant.GLU/rs1875310_profile_position.png",4,220,900)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-0.193265422</v>
      </c>
      <c r="G3099" t="n">
        <v>0.0127928952682469</v>
      </c>
      <c r="H3099" t="n">
        <v>0.0242383365332359</v>
      </c>
      <c r="I3099" t="n">
        <v>0.1151054664997368</v>
      </c>
      <c r="J3099" t="n">
        <v>0.1740084657951012</v>
      </c>
      <c r="K3099" t="n">
        <v>0.1282852810636952</v>
      </c>
      <c r="L3099" t="b">
        <v>1</v>
      </c>
      <c r="M3099" t="b">
        <v>0</v>
      </c>
      <c r="N3099" t="inlineStr">
        <is>
          <t>ref</t>
        </is>
      </c>
      <c r="O3099" t="n">
        <v>-95</v>
      </c>
      <c r="P3099" t="n">
        <v>0.02527</v>
      </c>
      <c r="Q3099" t="n">
        <v>40</v>
      </c>
      <c r="R3099" t="n">
        <v>0.3413</v>
      </c>
      <c r="S3099">
        <f>IMAGE("https://mitra.stanford.edu/kundaje/oak/projects/neuro-variants/variant_position/credible/roussos_2024/variant_figures/roussos_2024.infant.GLU/rs72662364_count_position.png",4,220,900)</f>
        <v/>
      </c>
      <c r="T3099">
        <f>IMAGE("https://mitra.stanford.edu/kundaje/oak/projects/neuro-variants/variant_position/credible/roussos_2024/variant_figures/roussos_2024.infant.GLU/rs72662364_profile_position.png",4,220,900)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0.1651245499999999</v>
      </c>
      <c r="G3100" t="n">
        <v>0.0168811907158347</v>
      </c>
      <c r="H3100" t="n">
        <v>0.0270170906981488</v>
      </c>
      <c r="I3100" t="n">
        <v>0.0817588660087992</v>
      </c>
      <c r="J3100" t="n">
        <v>0.0611168676558124</v>
      </c>
      <c r="K3100" t="n">
        <v>0.3207565071731013</v>
      </c>
      <c r="L3100" t="b">
        <v>1</v>
      </c>
      <c r="M3100" t="b">
        <v>0</v>
      </c>
      <c r="N3100" t="inlineStr">
        <is>
          <t>alt</t>
        </is>
      </c>
      <c r="O3100" t="n">
        <v>5</v>
      </c>
      <c r="P3100" t="n">
        <v>0.001389</v>
      </c>
      <c r="Q3100" t="n">
        <v>15</v>
      </c>
      <c r="R3100" t="n">
        <v>0.001953</v>
      </c>
      <c r="S3100">
        <f>IMAGE("https://mitra.stanford.edu/kundaje/oak/projects/neuro-variants/variant_position/credible/roussos_2024/variant_figures/roussos_2024.infant.GLU/rs17034785_count_position.png",4,220,900)</f>
        <v/>
      </c>
      <c r="T3100">
        <f>IMAGE("https://mitra.stanford.edu/kundaje/oak/projects/neuro-variants/variant_position/credible/roussos_2024/variant_figures/roussos_2024.infant.GLU/rs17034785_profile_position.png",4,220,900)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-0.0299042644</v>
      </c>
      <c r="G3101" t="n">
        <v>0.1764344102023457</v>
      </c>
      <c r="H3101" t="n">
        <v>0.0148802452784767</v>
      </c>
      <c r="I3101" t="n">
        <v>0.369605833083506</v>
      </c>
      <c r="J3101" t="n">
        <v>0.0108236513150642</v>
      </c>
      <c r="K3101" t="n">
        <v>0.6690550413391166</v>
      </c>
      <c r="L3101" t="b">
        <v>0</v>
      </c>
      <c r="M3101" t="b">
        <v>0</v>
      </c>
      <c r="N3101" t="inlineStr">
        <is>
          <t>ref</t>
        </is>
      </c>
      <c r="O3101" t="n">
        <v>-45</v>
      </c>
      <c r="P3101" t="n">
        <v>0.04883</v>
      </c>
      <c r="Q3101" t="n">
        <v>-40</v>
      </c>
      <c r="R3101" t="n">
        <v>0.06192</v>
      </c>
      <c r="S3101">
        <f>IMAGE("https://mitra.stanford.edu/kundaje/oak/projects/neuro-variants/variant_position/credible/roussos_2024/variant_figures/roussos_2024.infant.GLU/rs6856296_count_position.png",4,220,900)</f>
        <v/>
      </c>
      <c r="T3101">
        <f>IMAGE("https://mitra.stanford.edu/kundaje/oak/projects/neuro-variants/variant_position/credible/roussos_2024/variant_figures/roussos_2024.infant.GLU/rs6856296_profile_position.png",4,220,900)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-0.00631494378</v>
      </c>
      <c r="G3102" t="n">
        <v>0.7465616029401362</v>
      </c>
      <c r="H3102" t="n">
        <v>0.0287319790904234</v>
      </c>
      <c r="I3102" t="n">
        <v>0.0662883809623003</v>
      </c>
      <c r="J3102" t="n">
        <v>0.0375779889327365</v>
      </c>
      <c r="K3102" t="n">
        <v>0.4102324255932076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0.1499</v>
      </c>
      <c r="Q3102" t="n">
        <v>100</v>
      </c>
      <c r="R3102" t="n">
        <v>0.2734</v>
      </c>
      <c r="S3102">
        <f>IMAGE("https://mitra.stanford.edu/kundaje/oak/projects/neuro-variants/variant_position/credible/roussos_2024/variant_figures/roussos_2024.infant.GLU/rs6855141_count_position.png",4,220,900)</f>
        <v/>
      </c>
      <c r="T3102">
        <f>IMAGE("https://mitra.stanford.edu/kundaje/oak/projects/neuro-variants/variant_position/credible/roussos_2024/variant_figures/roussos_2024.infant.GLU/rs6855141_profile_position.png",4,220,900)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0.0118921934999999</v>
      </c>
      <c r="G3103" t="n">
        <v>0.5352668833421824</v>
      </c>
      <c r="H3103" t="n">
        <v>0.0421944809060851</v>
      </c>
      <c r="I3103" t="n">
        <v>0.0162081119161668</v>
      </c>
      <c r="J3103" t="n">
        <v>0.0069214488855573</v>
      </c>
      <c r="K3103" t="n">
        <v>0.7096097734569062</v>
      </c>
      <c r="L3103" t="b">
        <v>0</v>
      </c>
      <c r="M3103" t="b">
        <v>0</v>
      </c>
      <c r="N3103" t="inlineStr">
        <is>
          <t>alt</t>
        </is>
      </c>
      <c r="O3103" t="n">
        <v>-5</v>
      </c>
      <c r="P3103" t="n">
        <v>0.002441</v>
      </c>
      <c r="Q3103" t="n">
        <v>-75</v>
      </c>
      <c r="R3103" t="n">
        <v>0.0553</v>
      </c>
      <c r="S3103">
        <f>IMAGE("https://mitra.stanford.edu/kundaje/oak/projects/neuro-variants/variant_position/credible/roussos_2024/variant_figures/roussos_2024.infant.GLU/rs7655540_count_position.png",4,220,900)</f>
        <v/>
      </c>
      <c r="T3103">
        <f>IMAGE("https://mitra.stanford.edu/kundaje/oak/projects/neuro-variants/variant_position/credible/roussos_2024/variant_figures/roussos_2024.infant.GLU/rs7655540_profile_position.png",4,220,900)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0.0191153944</v>
      </c>
      <c r="G3104" t="n">
        <v>0.4465171764063688</v>
      </c>
      <c r="H3104" t="n">
        <v>0.0065476673989337</v>
      </c>
      <c r="I3104" t="n">
        <v>0.978455249170072</v>
      </c>
      <c r="J3104" t="n">
        <v>0.0008013845102404</v>
      </c>
      <c r="K3104" t="n">
        <v>0.8996551785784146</v>
      </c>
      <c r="L3104" t="b">
        <v>0</v>
      </c>
      <c r="M3104" t="b">
        <v>0</v>
      </c>
      <c r="N3104" t="inlineStr">
        <is>
          <t>alt</t>
        </is>
      </c>
      <c r="O3104" t="n">
        <v>95</v>
      </c>
      <c r="P3104" t="n">
        <v>0.02129</v>
      </c>
      <c r="Q3104" t="n">
        <v>-65</v>
      </c>
      <c r="R3104" t="n">
        <v>0.1201</v>
      </c>
      <c r="S3104">
        <f>IMAGE("https://mitra.stanford.edu/kundaje/oak/projects/neuro-variants/variant_position/credible/roussos_2024/variant_figures/roussos_2024.infant.GLU/rs9990663_count_position.png",4,220,900)</f>
        <v/>
      </c>
      <c r="T3104">
        <f>IMAGE("https://mitra.stanford.edu/kundaje/oak/projects/neuro-variants/variant_position/credible/roussos_2024/variant_figures/roussos_2024.infant.GLU/rs9990663_profile_position.png",4,220,900)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-0.21260446</v>
      </c>
      <c r="G3105" t="n">
        <v>0.0092023678599868</v>
      </c>
      <c r="H3105" t="n">
        <v>0.0267993289053523</v>
      </c>
      <c r="I3105" t="n">
        <v>0.08309275495739681</v>
      </c>
      <c r="J3105" t="n">
        <v>0.0891598139288784</v>
      </c>
      <c r="K3105" t="n">
        <v>0.2330398035791074</v>
      </c>
      <c r="L3105" t="b">
        <v>1</v>
      </c>
      <c r="M3105" t="b">
        <v>1</v>
      </c>
      <c r="N3105" t="inlineStr">
        <is>
          <t>ref</t>
        </is>
      </c>
      <c r="O3105" t="n">
        <v>65</v>
      </c>
      <c r="P3105" t="n">
        <v>0.010635</v>
      </c>
      <c r="Q3105" t="n">
        <v>-40</v>
      </c>
      <c r="R3105" t="n">
        <v>0.06104</v>
      </c>
      <c r="S3105">
        <f>IMAGE("https://mitra.stanford.edu/kundaje/oak/projects/neuro-variants/variant_position/credible/roussos_2024/variant_figures/roussos_2024.infant.GLU/rs2012723_count_position.png",4,220,900)</f>
        <v/>
      </c>
      <c r="T3105">
        <f>IMAGE("https://mitra.stanford.edu/kundaje/oak/projects/neuro-variants/variant_position/credible/roussos_2024/variant_figures/roussos_2024.infant.GLU/rs2012723_profile_position.png",4,220,900)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-0.264976702</v>
      </c>
      <c r="G3106" t="n">
        <v>0.0047199440754036</v>
      </c>
      <c r="H3106" t="n">
        <v>0.0400245020525488</v>
      </c>
      <c r="I3106" t="n">
        <v>0.0205530927288429</v>
      </c>
      <c r="J3106" t="n">
        <v>0.0222216098238496</v>
      </c>
      <c r="K3106" t="n">
        <v>0.5195322840171188</v>
      </c>
      <c r="L3106" t="b">
        <v>1</v>
      </c>
      <c r="M3106" t="b">
        <v>1</v>
      </c>
      <c r="N3106" t="inlineStr">
        <is>
          <t>ref</t>
        </is>
      </c>
      <c r="O3106" t="n">
        <v>-35</v>
      </c>
      <c r="P3106" t="n">
        <v>0.008865</v>
      </c>
      <c r="Q3106" t="n">
        <v>100</v>
      </c>
      <c r="R3106" t="n">
        <v>0.1328</v>
      </c>
      <c r="S3106">
        <f>IMAGE("https://mitra.stanford.edu/kundaje/oak/projects/neuro-variants/variant_position/credible/roussos_2024/variant_figures/roussos_2024.infant.GLU/rs4600992_count_position.png",4,220,900)</f>
        <v/>
      </c>
      <c r="T3106">
        <f>IMAGE("https://mitra.stanford.edu/kundaje/oak/projects/neuro-variants/variant_position/credible/roussos_2024/variant_figures/roussos_2024.infant.GLU/rs4600992_profile_position.png",4,220,900)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-0.0004287065</v>
      </c>
      <c r="G3107" t="n">
        <v>0.8208030291029832</v>
      </c>
      <c r="H3107" t="n">
        <v>0.0125616351304742</v>
      </c>
      <c r="I3107" t="n">
        <v>0.5113178725457693</v>
      </c>
      <c r="J3107" t="n">
        <v>0.0014230913379924</v>
      </c>
      <c r="K3107" t="n">
        <v>0.8926585620528857</v>
      </c>
      <c r="L3107" t="b">
        <v>0</v>
      </c>
      <c r="M3107" t="b">
        <v>0</v>
      </c>
      <c r="N3107" t="inlineStr">
        <is>
          <t>ref</t>
        </is>
      </c>
      <c r="O3107" t="n">
        <v>-85</v>
      </c>
      <c r="P3107" t="n">
        <v>0.00457</v>
      </c>
      <c r="Q3107" t="n">
        <v>-100</v>
      </c>
      <c r="R3107" t="n">
        <v>0.08215</v>
      </c>
      <c r="S3107">
        <f>IMAGE("https://mitra.stanford.edu/kundaje/oak/projects/neuro-variants/variant_position/credible/roussos_2024/variant_figures/roussos_2024.infant.GLU/rs2169057_count_position.png",4,220,900)</f>
        <v/>
      </c>
      <c r="T3107">
        <f>IMAGE("https://mitra.stanford.edu/kundaje/oak/projects/neuro-variants/variant_position/credible/roussos_2024/variant_figures/roussos_2024.infant.GLU/rs2169057_profile_position.png",4,220,900)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0.00128877937</v>
      </c>
      <c r="G3108" t="n">
        <v>0.8758107275352736</v>
      </c>
      <c r="H3108" t="n">
        <v>0.014875176988293</v>
      </c>
      <c r="I3108" t="n">
        <v>0.3649829499690835</v>
      </c>
      <c r="J3108" t="n">
        <v>0.0096805485129742</v>
      </c>
      <c r="K3108" t="n">
        <v>0.674254947443353</v>
      </c>
      <c r="L3108" t="b">
        <v>0</v>
      </c>
      <c r="M3108" t="b">
        <v>0</v>
      </c>
      <c r="N3108" t="inlineStr">
        <is>
          <t>alt</t>
        </is>
      </c>
      <c r="O3108" t="n">
        <v>90</v>
      </c>
      <c r="P3108" t="n">
        <v>0.0276</v>
      </c>
      <c r="Q3108" t="n">
        <v>-75</v>
      </c>
      <c r="R3108" t="n">
        <v>0.0732</v>
      </c>
      <c r="S3108">
        <f>IMAGE("https://mitra.stanford.edu/kundaje/oak/projects/neuro-variants/variant_position/credible/roussos_2024/variant_figures/roussos_2024.infant.GLU/rs1540575_count_position.png",4,220,900)</f>
        <v/>
      </c>
      <c r="T3108">
        <f>IMAGE("https://mitra.stanford.edu/kundaje/oak/projects/neuro-variants/variant_position/credible/roussos_2024/variant_figures/roussos_2024.infant.GLU/rs1540575_profile_position.png",4,220,900)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0.0597898058</v>
      </c>
      <c r="G3109" t="n">
        <v>0.1274230361920372</v>
      </c>
      <c r="H3109" t="n">
        <v>0.0348171408306067</v>
      </c>
      <c r="I3109" t="n">
        <v>0.0344941055952181</v>
      </c>
      <c r="J3109" t="n">
        <v>0.0449624109878965</v>
      </c>
      <c r="K3109" t="n">
        <v>0.3620570498526153</v>
      </c>
      <c r="L3109" t="b">
        <v>0</v>
      </c>
      <c r="M3109" t="b">
        <v>0</v>
      </c>
      <c r="N3109" t="inlineStr">
        <is>
          <t>alt</t>
        </is>
      </c>
      <c r="O3109" t="n">
        <v>-90</v>
      </c>
      <c r="P3109" t="n">
        <v>0.03674</v>
      </c>
      <c r="Q3109" t="n">
        <v>80</v>
      </c>
      <c r="R3109" t="n">
        <v>0.10583</v>
      </c>
      <c r="S3109">
        <f>IMAGE("https://mitra.stanford.edu/kundaje/oak/projects/neuro-variants/variant_position/credible/roussos_2024/variant_figures/roussos_2024.infant.GLU/rs6857739_count_position.png",4,220,900)</f>
        <v/>
      </c>
      <c r="T3109">
        <f>IMAGE("https://mitra.stanford.edu/kundaje/oak/projects/neuro-variants/variant_position/credible/roussos_2024/variant_figures/roussos_2024.infant.GLU/rs6857739_profile_position.png",4,220,900)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-0.0600857112</v>
      </c>
      <c r="G3110" t="n">
        <v>0.1358102051170876</v>
      </c>
      <c r="H3110" t="n">
        <v>0.0206874106128634</v>
      </c>
      <c r="I3110" t="n">
        <v>0.1710085211204197</v>
      </c>
      <c r="J3110" t="n">
        <v>0.0199971339756167</v>
      </c>
      <c r="K3110" t="n">
        <v>0.541639842961856</v>
      </c>
      <c r="L3110" t="b">
        <v>0</v>
      </c>
      <c r="M3110" t="b">
        <v>0</v>
      </c>
      <c r="N3110" t="inlineStr">
        <is>
          <t>ref</t>
        </is>
      </c>
      <c r="O3110" t="n">
        <v>80</v>
      </c>
      <c r="P3110" t="n">
        <v>0.04675</v>
      </c>
      <c r="Q3110" t="n">
        <v>-80</v>
      </c>
      <c r="R3110" t="n">
        <v>0.1632</v>
      </c>
      <c r="S3110">
        <f>IMAGE("https://mitra.stanford.edu/kundaje/oak/projects/neuro-variants/variant_position/credible/roussos_2024/variant_figures/roussos_2024.infant.GLU/rs1350618_count_position.png",4,220,900)</f>
        <v/>
      </c>
      <c r="T3110">
        <f>IMAGE("https://mitra.stanford.edu/kundaje/oak/projects/neuro-variants/variant_position/credible/roussos_2024/variant_figures/roussos_2024.infant.GLU/rs1350618_profile_position.png",4,220,900)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0.1005811926</v>
      </c>
      <c r="G3111" t="n">
        <v>0.0572474838487261</v>
      </c>
      <c r="H3111" t="n">
        <v>0.0436303888927341</v>
      </c>
      <c r="I3111" t="n">
        <v>0.0142628590648424</v>
      </c>
      <c r="J3111" t="n">
        <v>0.1669701713000727</v>
      </c>
      <c r="K3111" t="n">
        <v>0.1329553833027081</v>
      </c>
      <c r="L3111" t="b">
        <v>1</v>
      </c>
      <c r="M3111" t="b">
        <v>0</v>
      </c>
      <c r="N3111" t="inlineStr">
        <is>
          <t>alt</t>
        </is>
      </c>
      <c r="O3111" t="n">
        <v>-95</v>
      </c>
      <c r="P3111" t="n">
        <v>0.05365</v>
      </c>
      <c r="Q3111" t="n">
        <v>-90</v>
      </c>
      <c r="R3111" t="n">
        <v>0.202</v>
      </c>
      <c r="S3111">
        <f>IMAGE("https://mitra.stanford.edu/kundaje/oak/projects/neuro-variants/variant_position/credible/roussos_2024/variant_figures/roussos_2024.infant.GLU/rs1459538_count_position.png",4,220,900)</f>
        <v/>
      </c>
      <c r="T3111">
        <f>IMAGE("https://mitra.stanford.edu/kundaje/oak/projects/neuro-variants/variant_position/credible/roussos_2024/variant_figures/roussos_2024.infant.GLU/rs1459538_profile_position.png",4,220,900)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0.0390236109399999</v>
      </c>
      <c r="G3112" t="n">
        <v>0.2805487726559222</v>
      </c>
      <c r="H3112" t="n">
        <v>0.0138947239824212</v>
      </c>
      <c r="I3112" t="n">
        <v>0.4272142045270578</v>
      </c>
      <c r="J3112" t="n">
        <v>0.1469763442756674</v>
      </c>
      <c r="K3112" t="n">
        <v>0.1528595810140021</v>
      </c>
      <c r="L3112" t="b">
        <v>0</v>
      </c>
      <c r="M3112" t="b">
        <v>0</v>
      </c>
      <c r="N3112" t="inlineStr">
        <is>
          <t>alt</t>
        </is>
      </c>
      <c r="O3112" t="n">
        <v>-40</v>
      </c>
      <c r="P3112" t="n">
        <v>0.008286</v>
      </c>
      <c r="Q3112" t="n">
        <v>40</v>
      </c>
      <c r="R3112" t="n">
        <v>0.07153</v>
      </c>
      <c r="S3112">
        <f>IMAGE("https://mitra.stanford.edu/kundaje/oak/projects/neuro-variants/variant_position/credible/roussos_2024/variant_figures/roussos_2024.infant.GLU/rs10011404_count_position.png",4,220,900)</f>
        <v/>
      </c>
      <c r="T3112">
        <f>IMAGE("https://mitra.stanford.edu/kundaje/oak/projects/neuro-variants/variant_position/credible/roussos_2024/variant_figures/roussos_2024.infant.GLU/rs10011404_profile_position.png",4,220,900)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0.09084501759999999</v>
      </c>
      <c r="G3113" t="n">
        <v>0.0621727474308994</v>
      </c>
      <c r="H3113" t="n">
        <v>0.0135391993675624</v>
      </c>
      <c r="I3113" t="n">
        <v>0.4439146001426742</v>
      </c>
      <c r="J3113" t="n">
        <v>0.1472166493970325</v>
      </c>
      <c r="K3113" t="n">
        <v>0.1481832951394393</v>
      </c>
      <c r="L3113" t="b">
        <v>0</v>
      </c>
      <c r="M3113" t="b">
        <v>0</v>
      </c>
      <c r="N3113" t="inlineStr">
        <is>
          <t>alt</t>
        </is>
      </c>
      <c r="O3113" t="n">
        <v>70</v>
      </c>
      <c r="P3113" t="n">
        <v>0.003006</v>
      </c>
      <c r="Q3113" t="n">
        <v>-20</v>
      </c>
      <c r="R3113" t="n">
        <v>0.04834</v>
      </c>
      <c r="S3113">
        <f>IMAGE("https://mitra.stanford.edu/kundaje/oak/projects/neuro-variants/variant_position/credible/roussos_2024/variant_figures/roussos_2024.infant.GLU/rs17867553_count_position.png",4,220,900)</f>
        <v/>
      </c>
      <c r="T3113">
        <f>IMAGE("https://mitra.stanford.edu/kundaje/oak/projects/neuro-variants/variant_position/credible/roussos_2024/variant_figures/roussos_2024.infant.GLU/rs17867553_profile_position.png",4,220,900)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-0.0875853882</v>
      </c>
      <c r="G3114" t="n">
        <v>0.0768717215092052</v>
      </c>
      <c r="H3114" t="n">
        <v>0.0152138824162259</v>
      </c>
      <c r="I3114" t="n">
        <v>0.3542019330290943</v>
      </c>
      <c r="J3114" t="n">
        <v>0.2288917304173371</v>
      </c>
      <c r="K3114" t="n">
        <v>0.1033150236514382</v>
      </c>
      <c r="L3114" t="b">
        <v>0</v>
      </c>
      <c r="M3114" t="b">
        <v>0</v>
      </c>
      <c r="N3114" t="inlineStr">
        <is>
          <t>ref</t>
        </is>
      </c>
      <c r="O3114" t="n">
        <v>20</v>
      </c>
      <c r="P3114" t="n">
        <v>0.000519</v>
      </c>
      <c r="Q3114" t="n">
        <v>20</v>
      </c>
      <c r="R3114" t="n">
        <v>0.0083</v>
      </c>
      <c r="S3114">
        <f>IMAGE("https://mitra.stanford.edu/kundaje/oak/projects/neuro-variants/variant_position/credible/roussos_2024/variant_figures/roussos_2024.infant.GLU/rs1459540_count_position.png",4,220,900)</f>
        <v/>
      </c>
      <c r="T3114">
        <f>IMAGE("https://mitra.stanford.edu/kundaje/oak/projects/neuro-variants/variant_position/credible/roussos_2024/variant_figures/roussos_2024.infant.GLU/rs1459540_profile_position.png",4,220,900)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0.07481043599999999</v>
      </c>
      <c r="G3115" t="n">
        <v>0.0925466663236881</v>
      </c>
      <c r="H3115" t="n">
        <v>0.0356674761749171</v>
      </c>
      <c r="I3115" t="n">
        <v>0.0316890599256076</v>
      </c>
      <c r="J3115" t="n">
        <v>0.0289137767587468</v>
      </c>
      <c r="K3115" t="n">
        <v>0.4722950192164576</v>
      </c>
      <c r="L3115" t="b">
        <v>0</v>
      </c>
      <c r="M3115" t="b">
        <v>0</v>
      </c>
      <c r="N3115" t="inlineStr">
        <is>
          <t>alt</t>
        </is>
      </c>
      <c r="O3115" t="n">
        <v>55</v>
      </c>
      <c r="P3115" t="n">
        <v>0.0187</v>
      </c>
      <c r="Q3115" t="n">
        <v>80</v>
      </c>
      <c r="R3115" t="n">
        <v>0.0351</v>
      </c>
      <c r="S3115">
        <f>IMAGE("https://mitra.stanford.edu/kundaje/oak/projects/neuro-variants/variant_position/credible/roussos_2024/variant_figures/roussos_2024.infant.GLU/rs17861256_count_position.png",4,220,900)</f>
        <v/>
      </c>
      <c r="T3115">
        <f>IMAGE("https://mitra.stanford.edu/kundaje/oak/projects/neuro-variants/variant_position/credible/roussos_2024/variant_figures/roussos_2024.infant.GLU/rs17861256_profile_position.png",4,220,900)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0.0172653761999999</v>
      </c>
      <c r="G3116" t="n">
        <v>0.4724851564176315</v>
      </c>
      <c r="H3116" t="n">
        <v>0.0337529119270667</v>
      </c>
      <c r="I3116" t="n">
        <v>0.0385099711527451</v>
      </c>
      <c r="J3116" t="n">
        <v>0.1284078132233955</v>
      </c>
      <c r="K3116" t="n">
        <v>0.1722595264749342</v>
      </c>
      <c r="L3116" t="b">
        <v>0</v>
      </c>
      <c r="M3116" t="b">
        <v>0</v>
      </c>
      <c r="N3116" t="inlineStr">
        <is>
          <t>alt</t>
        </is>
      </c>
      <c r="O3116" t="n">
        <v>-60</v>
      </c>
      <c r="P3116" t="n">
        <v>0.010956</v>
      </c>
      <c r="Q3116" t="n">
        <v>-80</v>
      </c>
      <c r="R3116" t="n">
        <v>0.1323</v>
      </c>
      <c r="S3116">
        <f>IMAGE("https://mitra.stanford.edu/kundaje/oak/projects/neuro-variants/variant_position/credible/roussos_2024/variant_figures/roussos_2024.infant.GLU/rs1350616_count_position.png",4,220,900)</f>
        <v/>
      </c>
      <c r="T3116">
        <f>IMAGE("https://mitra.stanford.edu/kundaje/oak/projects/neuro-variants/variant_position/credible/roussos_2024/variant_figures/roussos_2024.infant.GLU/rs1350616_profile_position.png",4,220,900)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-0.00676720514</v>
      </c>
      <c r="G3117" t="n">
        <v>0.6612861597802024</v>
      </c>
      <c r="H3117" t="n">
        <v>0.0353259891611179</v>
      </c>
      <c r="I3117" t="n">
        <v>0.032601830564571</v>
      </c>
      <c r="J3117" t="n">
        <v>0.0061862033995457</v>
      </c>
      <c r="K3117" t="n">
        <v>0.7397951969366264</v>
      </c>
      <c r="L3117" t="b">
        <v>0</v>
      </c>
      <c r="M3117" t="b">
        <v>0</v>
      </c>
      <c r="N3117" t="inlineStr">
        <is>
          <t>ref</t>
        </is>
      </c>
      <c r="O3117" t="n">
        <v>-15</v>
      </c>
      <c r="P3117" t="n">
        <v>0.004395</v>
      </c>
      <c r="Q3117" t="n">
        <v>-25</v>
      </c>
      <c r="R3117" t="n">
        <v>0.02794</v>
      </c>
      <c r="S3117">
        <f>IMAGE("https://mitra.stanford.edu/kundaje/oak/projects/neuro-variants/variant_position/credible/roussos_2024/variant_figures/roussos_2024.infant.GLU/rs4295331_count_position.png",4,220,900)</f>
        <v/>
      </c>
      <c r="T3117">
        <f>IMAGE("https://mitra.stanford.edu/kundaje/oak/projects/neuro-variants/variant_position/credible/roussos_2024/variant_figures/roussos_2024.infant.GLU/rs4295331_profile_position.png",4,220,900)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0.0197001174</v>
      </c>
      <c r="G3118" t="n">
        <v>0.3738846139645451</v>
      </c>
      <c r="H3118" t="n">
        <v>0.042282570750315</v>
      </c>
      <c r="I3118" t="n">
        <v>0.0161934886045091</v>
      </c>
      <c r="J3118" t="n">
        <v>0.0118080204590047</v>
      </c>
      <c r="K3118" t="n">
        <v>0.6465789561686951</v>
      </c>
      <c r="L3118" t="b">
        <v>1</v>
      </c>
      <c r="M3118" t="b">
        <v>0</v>
      </c>
      <c r="N3118" t="inlineStr">
        <is>
          <t>alt</t>
        </is>
      </c>
      <c r="O3118" t="n">
        <v>65</v>
      </c>
      <c r="P3118" t="n">
        <v>0.02759</v>
      </c>
      <c r="Q3118" t="n">
        <v>65</v>
      </c>
      <c r="R3118" t="n">
        <v>0.0837</v>
      </c>
      <c r="S3118">
        <f>IMAGE("https://mitra.stanford.edu/kundaje/oak/projects/neuro-variants/variant_position/credible/roussos_2024/variant_figures/roussos_2024.infant.GLU/rs1380370_count_position.png",4,220,900)</f>
        <v/>
      </c>
      <c r="T3118">
        <f>IMAGE("https://mitra.stanford.edu/kundaje/oak/projects/neuro-variants/variant_position/credible/roussos_2024/variant_figures/roussos_2024.infant.GLU/rs1380370_profile_position.png",4,220,900)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-0.01752046</v>
      </c>
      <c r="G3119" t="n">
        <v>0.4915488202750454</v>
      </c>
      <c r="H3119" t="n">
        <v>0.0138007665956584</v>
      </c>
      <c r="I3119" t="n">
        <v>0.4273095775562655</v>
      </c>
      <c r="J3119" t="n">
        <v>0.1499481910976872</v>
      </c>
      <c r="K3119" t="n">
        <v>0.1520119005287468</v>
      </c>
      <c r="L3119" t="b">
        <v>0</v>
      </c>
      <c r="M3119" t="b">
        <v>0</v>
      </c>
      <c r="N3119" t="inlineStr">
        <is>
          <t>ref</t>
        </is>
      </c>
      <c r="O3119" t="n">
        <v>10</v>
      </c>
      <c r="P3119" t="n">
        <v>0.001617</v>
      </c>
      <c r="Q3119" t="n">
        <v>-95</v>
      </c>
      <c r="R3119" t="n">
        <v>0.03217</v>
      </c>
      <c r="S3119">
        <f>IMAGE("https://mitra.stanford.edu/kundaje/oak/projects/neuro-variants/variant_position/credible/roussos_2024/variant_figures/roussos_2024.infant.GLU/rs4516794_count_position.png",4,220,900)</f>
        <v/>
      </c>
      <c r="T3119">
        <f>IMAGE("https://mitra.stanford.edu/kundaje/oak/projects/neuro-variants/variant_position/credible/roussos_2024/variant_figures/roussos_2024.infant.GLU/rs4516794_profile_position.png",4,220,900)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0.07815522799999999</v>
      </c>
      <c r="G3120" t="n">
        <v>0.07826561978368921</v>
      </c>
      <c r="H3120" t="n">
        <v>0.0227719771368459</v>
      </c>
      <c r="I3120" t="n">
        <v>0.1335505646913174</v>
      </c>
      <c r="J3120" t="n">
        <v>0.3246158425009369</v>
      </c>
      <c r="K3120" t="n">
        <v>0.0619976570501342</v>
      </c>
      <c r="L3120" t="b">
        <v>0</v>
      </c>
      <c r="M3120" t="b">
        <v>0</v>
      </c>
      <c r="N3120" t="inlineStr">
        <is>
          <t>alt</t>
        </is>
      </c>
      <c r="O3120" t="n">
        <v>-95</v>
      </c>
      <c r="P3120" t="n">
        <v>0.02649</v>
      </c>
      <c r="Q3120" t="n">
        <v>-100</v>
      </c>
      <c r="R3120" t="n">
        <v>0.2456</v>
      </c>
      <c r="S3120">
        <f>IMAGE("https://mitra.stanford.edu/kundaje/oak/projects/neuro-variants/variant_position/credible/roussos_2024/variant_figures/roussos_2024.infant.GLU/rs4568305_count_position.png",4,220,900)</f>
        <v/>
      </c>
      <c r="T3120">
        <f>IMAGE("https://mitra.stanford.edu/kundaje/oak/projects/neuro-variants/variant_position/credible/roussos_2024/variant_figures/roussos_2024.infant.GLU/rs4568305_profile_position.png",4,220,900)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0.0278779092999999</v>
      </c>
      <c r="G3121" t="n">
        <v>0.331067060392532</v>
      </c>
      <c r="H3121" t="n">
        <v>0.0451014708938398</v>
      </c>
      <c r="I3121" t="n">
        <v>0.0122495972606921</v>
      </c>
      <c r="J3121" t="n">
        <v>0.0030997156021957</v>
      </c>
      <c r="K3121" t="n">
        <v>0.8132096140184225</v>
      </c>
      <c r="L3121" t="b">
        <v>0</v>
      </c>
      <c r="M3121" t="b">
        <v>0</v>
      </c>
      <c r="N3121" t="inlineStr">
        <is>
          <t>alt</t>
        </is>
      </c>
      <c r="O3121" t="n">
        <v>-30</v>
      </c>
      <c r="P3121" t="n">
        <v>0.007442</v>
      </c>
      <c r="Q3121" t="n">
        <v>-35</v>
      </c>
      <c r="R3121" t="n">
        <v>0.01709</v>
      </c>
      <c r="S3121">
        <f>IMAGE("https://mitra.stanford.edu/kundaje/oak/projects/neuro-variants/variant_position/credible/roussos_2024/variant_figures/roussos_2024.infant.GLU/rs7661175_count_position.png",4,220,900)</f>
        <v/>
      </c>
      <c r="T3121">
        <f>IMAGE("https://mitra.stanford.edu/kundaje/oak/projects/neuro-variants/variant_position/credible/roussos_2024/variant_figures/roussos_2024.infant.GLU/rs7661175_profile_position.png",4,220,900)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-0.0819656031999999</v>
      </c>
      <c r="G3122" t="n">
        <v>0.07325281387318169</v>
      </c>
      <c r="H3122" t="n">
        <v>0.0140408910944878</v>
      </c>
      <c r="I3122" t="n">
        <v>0.4160708143610713</v>
      </c>
      <c r="J3122" t="n">
        <v>0.2582530479066999</v>
      </c>
      <c r="K3122" t="n">
        <v>0.08121917880547749</v>
      </c>
      <c r="L3122" t="b">
        <v>0</v>
      </c>
      <c r="M3122" t="b">
        <v>0</v>
      </c>
      <c r="N3122" t="inlineStr">
        <is>
          <t>ref</t>
        </is>
      </c>
      <c r="O3122" t="n">
        <v>-100</v>
      </c>
      <c r="P3122" t="n">
        <v>0.009124999999999999</v>
      </c>
      <c r="Q3122" t="n">
        <v>-40</v>
      </c>
      <c r="R3122" t="n">
        <v>0.03906</v>
      </c>
      <c r="S3122">
        <f>IMAGE("https://mitra.stanford.edu/kundaje/oak/projects/neuro-variants/variant_position/credible/roussos_2024/variant_figures/roussos_2024.infant.GLU/rs1350617_count_position.png",4,220,900)</f>
        <v/>
      </c>
      <c r="T3122">
        <f>IMAGE("https://mitra.stanford.edu/kundaje/oak/projects/neuro-variants/variant_position/credible/roussos_2024/variant_figures/roussos_2024.infant.GLU/rs1350617_profile_position.png",4,220,900)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-0.164512378</v>
      </c>
      <c r="G3123" t="n">
        <v>0.01686297058923</v>
      </c>
      <c r="H3123" t="n">
        <v>0.04230680959608</v>
      </c>
      <c r="I3123" t="n">
        <v>0.0162043910493634</v>
      </c>
      <c r="J3123" t="n">
        <v>0.09077801538834621</v>
      </c>
      <c r="K3123" t="n">
        <v>0.2231598203667066</v>
      </c>
      <c r="L3123" t="b">
        <v>1</v>
      </c>
      <c r="M3123" t="b">
        <v>0</v>
      </c>
      <c r="N3123" t="inlineStr">
        <is>
          <t>ref</t>
        </is>
      </c>
      <c r="O3123" t="n">
        <v>-50</v>
      </c>
      <c r="P3123" t="n">
        <v>0.01929</v>
      </c>
      <c r="Q3123" t="n">
        <v>-20</v>
      </c>
      <c r="R3123" t="n">
        <v>0.0332</v>
      </c>
      <c r="S3123">
        <f>IMAGE("https://mitra.stanford.edu/kundaje/oak/projects/neuro-variants/variant_position/credible/roussos_2024/variant_figures/roussos_2024.infant.GLU/rs17863939_count_position.png",4,220,900)</f>
        <v/>
      </c>
      <c r="T3123">
        <f>IMAGE("https://mitra.stanford.edu/kundaje/oak/projects/neuro-variants/variant_position/credible/roussos_2024/variant_figures/roussos_2024.infant.GLU/rs17863939_profile_position.png",4,220,900)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-0.01128441594</v>
      </c>
      <c r="G3124" t="n">
        <v>0.6054962225922124</v>
      </c>
      <c r="H3124" t="n">
        <v>0.0194253929789364</v>
      </c>
      <c r="I3124" t="n">
        <v>0.1993602248551807</v>
      </c>
      <c r="J3124" t="n">
        <v>0.0072378138847857</v>
      </c>
      <c r="K3124" t="n">
        <v>0.7022396551802655</v>
      </c>
      <c r="L3124" t="b">
        <v>0</v>
      </c>
      <c r="M3124" t="b">
        <v>0</v>
      </c>
      <c r="N3124" t="inlineStr">
        <is>
          <t>ref</t>
        </is>
      </c>
      <c r="O3124" t="n">
        <v>-20</v>
      </c>
      <c r="P3124" t="n">
        <v>0.004333</v>
      </c>
      <c r="Q3124" t="n">
        <v>25</v>
      </c>
      <c r="R3124" t="n">
        <v>0.01251</v>
      </c>
      <c r="S3124">
        <f>IMAGE("https://mitra.stanford.edu/kundaje/oak/projects/neuro-variants/variant_position/credible/roussos_2024/variant_figures/roussos_2024.infant.GLU/rs9995094_count_position.png",4,220,900)</f>
        <v/>
      </c>
      <c r="T3124">
        <f>IMAGE("https://mitra.stanford.edu/kundaje/oak/projects/neuro-variants/variant_position/credible/roussos_2024/variant_figures/roussos_2024.infant.GLU/rs9995094_profile_position.png",4,220,900)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0.1010143726</v>
      </c>
      <c r="G3125" t="n">
        <v>0.0608548167637113</v>
      </c>
      <c r="H3125" t="n">
        <v>0.0236360746644138</v>
      </c>
      <c r="I3125" t="n">
        <v>0.1224992368365922</v>
      </c>
      <c r="J3125" t="n">
        <v>0.0838598734540003</v>
      </c>
      <c r="K3125" t="n">
        <v>0.245730258042926</v>
      </c>
      <c r="L3125" t="b">
        <v>0</v>
      </c>
      <c r="M3125" t="b">
        <v>0</v>
      </c>
      <c r="N3125" t="inlineStr">
        <is>
          <t>alt</t>
        </is>
      </c>
      <c r="O3125" t="n">
        <v>-35</v>
      </c>
      <c r="P3125" t="n">
        <v>0.0119</v>
      </c>
      <c r="Q3125" t="n">
        <v>85</v>
      </c>
      <c r="R3125" t="n">
        <v>0.197</v>
      </c>
      <c r="S3125">
        <f>IMAGE("https://mitra.stanford.edu/kundaje/oak/projects/neuro-variants/variant_position/credible/roussos_2024/variant_figures/roussos_2024.infant.GLU/rs17865121_count_position.png",4,220,900)</f>
        <v/>
      </c>
      <c r="T3125">
        <f>IMAGE("https://mitra.stanford.edu/kundaje/oak/projects/neuro-variants/variant_position/credible/roussos_2024/variant_figures/roussos_2024.infant.GLU/rs17865121_profile_position.png",4,220,900)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0.1754115507999999</v>
      </c>
      <c r="G3126" t="n">
        <v>0.0143463348131585</v>
      </c>
      <c r="H3126" t="n">
        <v>0.0327477673838537</v>
      </c>
      <c r="I3126" t="n">
        <v>0.0429457860919187</v>
      </c>
      <c r="J3126" t="n">
        <v>0.0795189488304415</v>
      </c>
      <c r="K3126" t="n">
        <v>0.2514071185651915</v>
      </c>
      <c r="L3126" t="b">
        <v>1</v>
      </c>
      <c r="M3126" t="b">
        <v>0</v>
      </c>
      <c r="N3126" t="inlineStr">
        <is>
          <t>alt</t>
        </is>
      </c>
      <c r="O3126" t="n">
        <v>10</v>
      </c>
      <c r="P3126" t="n">
        <v>0.011826</v>
      </c>
      <c r="Q3126" t="n">
        <v>100</v>
      </c>
      <c r="R3126" t="n">
        <v>0.06934</v>
      </c>
      <c r="S3126">
        <f>IMAGE("https://mitra.stanford.edu/kundaje/oak/projects/neuro-variants/variant_position/credible/roussos_2024/variant_figures/roussos_2024.infant.GLU/rs6824201_count_position.png",4,220,900)</f>
        <v/>
      </c>
      <c r="T3126">
        <f>IMAGE("https://mitra.stanford.edu/kundaje/oak/projects/neuro-variants/variant_position/credible/roussos_2024/variant_figures/roussos_2024.infant.GLU/rs6824201_profile_position.png",4,220,900)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-0.0641786188</v>
      </c>
      <c r="G3127" t="n">
        <v>0.1302477303143764</v>
      </c>
      <c r="H3127" t="n">
        <v>0.0296957666904759</v>
      </c>
      <c r="I3127" t="n">
        <v>0.0601892852040077</v>
      </c>
      <c r="J3127" t="n">
        <v>0.0450054013536453</v>
      </c>
      <c r="K3127" t="n">
        <v>0.3748005132318194</v>
      </c>
      <c r="L3127" t="b">
        <v>0</v>
      </c>
      <c r="M3127" t="b">
        <v>0</v>
      </c>
      <c r="N3127" t="inlineStr">
        <is>
          <t>ref</t>
        </is>
      </c>
      <c r="O3127" t="n">
        <v>-100</v>
      </c>
      <c r="P3127" t="n">
        <v>0.03096</v>
      </c>
      <c r="Q3127" t="n">
        <v>65</v>
      </c>
      <c r="R3127" t="n">
        <v>0.01398</v>
      </c>
      <c r="S3127">
        <f>IMAGE("https://mitra.stanford.edu/kundaje/oak/projects/neuro-variants/variant_position/credible/roussos_2024/variant_figures/roussos_2024.infant.GLU/rs1459530_count_position.png",4,220,900)</f>
        <v/>
      </c>
      <c r="T3127">
        <f>IMAGE("https://mitra.stanford.edu/kundaje/oak/projects/neuro-variants/variant_position/credible/roussos_2024/variant_figures/roussos_2024.infant.GLU/rs1459530_profile_position.png",4,220,900)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0.177827356</v>
      </c>
      <c r="G3128" t="n">
        <v>0.0134164089903276</v>
      </c>
      <c r="H3128" t="n">
        <v>0.040934575586146</v>
      </c>
      <c r="I3128" t="n">
        <v>0.0182602739029578</v>
      </c>
      <c r="J3128" t="n">
        <v>0.0554730042549438</v>
      </c>
      <c r="K3128" t="n">
        <v>0.3349909648400112</v>
      </c>
      <c r="L3128" t="b">
        <v>1</v>
      </c>
      <c r="M3128" t="b">
        <v>0</v>
      </c>
      <c r="N3128" t="inlineStr">
        <is>
          <t>alt</t>
        </is>
      </c>
      <c r="O3128" t="n">
        <v>25</v>
      </c>
      <c r="P3128" t="n">
        <v>0.00232</v>
      </c>
      <c r="Q3128" t="n">
        <v>15</v>
      </c>
      <c r="R3128" t="n">
        <v>0.0764</v>
      </c>
      <c r="S3128">
        <f>IMAGE("https://mitra.stanford.edu/kundaje/oak/projects/neuro-variants/variant_position/credible/roussos_2024/variant_figures/roussos_2024.infant.GLU/rs4834639_count_position.png",4,220,900)</f>
        <v/>
      </c>
      <c r="T3128">
        <f>IMAGE("https://mitra.stanford.edu/kundaje/oak/projects/neuro-variants/variant_position/credible/roussos_2024/variant_figures/roussos_2024.infant.GLU/rs4834639_profile_position.png",4,220,900)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0.0301616902</v>
      </c>
      <c r="G3129" t="n">
        <v>0.3096871646681371</v>
      </c>
      <c r="H3129" t="n">
        <v>0.0495521548342953</v>
      </c>
      <c r="I3129" t="n">
        <v>0.007854056167884</v>
      </c>
      <c r="J3129" t="n">
        <v>0.008057937785224401</v>
      </c>
      <c r="K3129" t="n">
        <v>0.6875707279280653</v>
      </c>
      <c r="L3129" t="b">
        <v>0</v>
      </c>
      <c r="M3129" t="b">
        <v>0</v>
      </c>
      <c r="N3129" t="inlineStr">
        <is>
          <t>alt</t>
        </is>
      </c>
      <c r="O3129" t="n">
        <v>25</v>
      </c>
      <c r="P3129" t="n">
        <v>0.015015</v>
      </c>
      <c r="Q3129" t="n">
        <v>90</v>
      </c>
      <c r="R3129" t="n">
        <v>0.03955</v>
      </c>
      <c r="S3129">
        <f>IMAGE("https://mitra.stanford.edu/kundaje/oak/projects/neuro-variants/variant_position/credible/roussos_2024/variant_figures/roussos_2024.infant.GLU/rs4377658_count_position.png",4,220,900)</f>
        <v/>
      </c>
      <c r="T3129">
        <f>IMAGE("https://mitra.stanford.edu/kundaje/oak/projects/neuro-variants/variant_position/credible/roussos_2024/variant_figures/roussos_2024.infant.GLU/rs4377658_profile_position.png",4,220,900)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0.14783164</v>
      </c>
      <c r="G3130" t="n">
        <v>0.0228399200996137</v>
      </c>
      <c r="H3130" t="n">
        <v>0.023733960020194</v>
      </c>
      <c r="I3130" t="n">
        <v>0.1208993655948187</v>
      </c>
      <c r="J3130" t="n">
        <v>0.1732886527480764</v>
      </c>
      <c r="K3130" t="n">
        <v>0.1288785167052811</v>
      </c>
      <c r="L3130" t="b">
        <v>0</v>
      </c>
      <c r="M3130" t="b">
        <v>0</v>
      </c>
      <c r="N3130" t="inlineStr">
        <is>
          <t>alt</t>
        </is>
      </c>
      <c r="O3130" t="n">
        <v>-15</v>
      </c>
      <c r="P3130" t="n">
        <v>0.00531</v>
      </c>
      <c r="Q3130" t="n">
        <v>-15</v>
      </c>
      <c r="R3130" t="n">
        <v>0.04443</v>
      </c>
      <c r="S3130">
        <f>IMAGE("https://mitra.stanford.edu/kundaje/oak/projects/neuro-variants/variant_position/credible/roussos_2024/variant_figures/roussos_2024.infant.GLU/rs7680858_count_position.png",4,220,900)</f>
        <v/>
      </c>
      <c r="T3130">
        <f>IMAGE("https://mitra.stanford.edu/kundaje/oak/projects/neuro-variants/variant_position/credible/roussos_2024/variant_figures/roussos_2024.infant.GLU/rs7680858_profile_position.png",4,220,900)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0.0400682396</v>
      </c>
      <c r="G3131" t="n">
        <v>0.2270432287942338</v>
      </c>
      <c r="H3131" t="n">
        <v>0.0090346459807876</v>
      </c>
      <c r="I3131" t="n">
        <v>0.7856248082736993</v>
      </c>
      <c r="J3131" t="n">
        <v>0.0546837452324786</v>
      </c>
      <c r="K3131" t="n">
        <v>0.3248397033330391</v>
      </c>
      <c r="L3131" t="b">
        <v>0</v>
      </c>
      <c r="M3131" t="b">
        <v>0</v>
      </c>
      <c r="N3131" t="inlineStr">
        <is>
          <t>alt</t>
        </is>
      </c>
      <c r="O3131" t="n">
        <v>50</v>
      </c>
      <c r="P3131" t="n">
        <v>0.008675</v>
      </c>
      <c r="Q3131" t="n">
        <v>-100</v>
      </c>
      <c r="R3131" t="n">
        <v>0.0401</v>
      </c>
      <c r="S3131">
        <f>IMAGE("https://mitra.stanford.edu/kundaje/oak/projects/neuro-variants/variant_position/credible/roussos_2024/variant_figures/roussos_2024.infant.GLU/rs67213843_count_position.png",4,220,900)</f>
        <v/>
      </c>
      <c r="T3131">
        <f>IMAGE("https://mitra.stanford.edu/kundaje/oak/projects/neuro-variants/variant_position/credible/roussos_2024/variant_figures/roussos_2024.infant.GLU/rs67213843_profile_position.png",4,220,900)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-0.157769246</v>
      </c>
      <c r="G3132" t="n">
        <v>0.0197981214075989</v>
      </c>
      <c r="H3132" t="n">
        <v>0.0327861803207757</v>
      </c>
      <c r="I3132" t="n">
        <v>0.0433089965652196</v>
      </c>
      <c r="J3132" t="n">
        <v>0.1153784254502964</v>
      </c>
      <c r="K3132" t="n">
        <v>0.1815676369843533</v>
      </c>
      <c r="L3132" t="b">
        <v>1</v>
      </c>
      <c r="M3132" t="b">
        <v>0</v>
      </c>
      <c r="N3132" t="inlineStr">
        <is>
          <t>ref</t>
        </is>
      </c>
      <c r="O3132" t="n">
        <v>100</v>
      </c>
      <c r="P3132" t="n">
        <v>0.1067</v>
      </c>
      <c r="Q3132" t="n">
        <v>95</v>
      </c>
      <c r="R3132" t="n">
        <v>0.03076</v>
      </c>
      <c r="S3132">
        <f>IMAGE("https://mitra.stanford.edu/kundaje/oak/projects/neuro-variants/variant_position/credible/roussos_2024/variant_figures/roussos_2024.infant.GLU/rs55923363_count_position.png",4,220,900)</f>
        <v/>
      </c>
      <c r="T3132">
        <f>IMAGE("https://mitra.stanford.edu/kundaje/oak/projects/neuro-variants/variant_position/credible/roussos_2024/variant_figures/roussos_2024.infant.GLU/rs55923363_profile_position.png",4,220,900)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-0.0335500007399999</v>
      </c>
      <c r="G3133" t="n">
        <v>0.2808083280715008</v>
      </c>
      <c r="H3133" t="n">
        <v>0.0359645951658061</v>
      </c>
      <c r="I3133" t="n">
        <v>0.0306898331781254</v>
      </c>
      <c r="J3133" t="n">
        <v>0.0177131330055776</v>
      </c>
      <c r="K3133" t="n">
        <v>0.5637768677996203</v>
      </c>
      <c r="L3133" t="b">
        <v>0</v>
      </c>
      <c r="M3133" t="b">
        <v>0</v>
      </c>
      <c r="N3133" t="inlineStr">
        <is>
          <t>ref</t>
        </is>
      </c>
      <c r="O3133" t="n">
        <v>25</v>
      </c>
      <c r="P3133" t="n">
        <v>0.006836</v>
      </c>
      <c r="Q3133" t="n">
        <v>5</v>
      </c>
      <c r="R3133" t="n">
        <v>0.005188</v>
      </c>
      <c r="S3133">
        <f>IMAGE("https://mitra.stanford.edu/kundaje/oak/projects/neuro-variants/variant_position/credible/roussos_2024/variant_figures/roussos_2024.infant.GLU/rs28521069_count_position.png",4,220,900)</f>
        <v/>
      </c>
      <c r="T3133">
        <f>IMAGE("https://mitra.stanford.edu/kundaje/oak/projects/neuro-variants/variant_position/credible/roussos_2024/variant_figures/roussos_2024.infant.GLU/rs28521069_profile_position.png",4,220,900)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0.0001162658599999</v>
      </c>
      <c r="G3134" t="n">
        <v>0.695312752939279</v>
      </c>
      <c r="H3134" t="n">
        <v>0.0301299237182949</v>
      </c>
      <c r="I3134" t="n">
        <v>0.0569354653119632</v>
      </c>
      <c r="J3134" t="n">
        <v>0.0210641768998434</v>
      </c>
      <c r="K3134" t="n">
        <v>0.5344006050661745</v>
      </c>
      <c r="L3134" t="b">
        <v>0</v>
      </c>
      <c r="M3134" t="b">
        <v>0</v>
      </c>
      <c r="N3134" t="inlineStr">
        <is>
          <t>alt</t>
        </is>
      </c>
      <c r="O3134" t="n">
        <v>65</v>
      </c>
      <c r="P3134" t="n">
        <v>0.01854</v>
      </c>
      <c r="Q3134" t="n">
        <v>-100</v>
      </c>
      <c r="R3134" t="n">
        <v>0.1133</v>
      </c>
      <c r="S3134">
        <f>IMAGE("https://mitra.stanford.edu/kundaje/oak/projects/neuro-variants/variant_position/credible/roussos_2024/variant_figures/roussos_2024.infant.GLU/rs7666685_count_position.png",4,220,900)</f>
        <v/>
      </c>
      <c r="T3134">
        <f>IMAGE("https://mitra.stanford.edu/kundaje/oak/projects/neuro-variants/variant_position/credible/roussos_2024/variant_figures/roussos_2024.infant.GLU/rs7666685_profile_position.png",4,220,900)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0.1453623768</v>
      </c>
      <c r="G3135" t="n">
        <v>0.0234211389772219</v>
      </c>
      <c r="H3135" t="n">
        <v>0.0196746389139614</v>
      </c>
      <c r="I3135" t="n">
        <v>0.1909823758334144</v>
      </c>
      <c r="J3135" t="n">
        <v>0.0444751868427434</v>
      </c>
      <c r="K3135" t="n">
        <v>0.3646212430123962</v>
      </c>
      <c r="L3135" t="b">
        <v>0</v>
      </c>
      <c r="M3135" t="b">
        <v>0</v>
      </c>
      <c r="N3135" t="inlineStr">
        <is>
          <t>alt</t>
        </is>
      </c>
      <c r="O3135" t="n">
        <v>-65</v>
      </c>
      <c r="P3135" t="n">
        <v>0.008240000000000001</v>
      </c>
      <c r="Q3135" t="n">
        <v>-65</v>
      </c>
      <c r="R3135" t="n">
        <v>0.06177</v>
      </c>
      <c r="S3135">
        <f>IMAGE("https://mitra.stanford.edu/kundaje/oak/projects/neuro-variants/variant_position/credible/roussos_2024/variant_figures/roussos_2024.infant.GLU/rs6821845_count_position.png",4,220,900)</f>
        <v/>
      </c>
      <c r="T3135">
        <f>IMAGE("https://mitra.stanford.edu/kundaje/oak/projects/neuro-variants/variant_position/credible/roussos_2024/variant_figures/roussos_2024.infant.GLU/rs6821845_profile_position.png",4,220,900)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-0.2228903679999999</v>
      </c>
      <c r="G3136" t="n">
        <v>0.007550773014451</v>
      </c>
      <c r="H3136" t="n">
        <v>0.0326544779658907</v>
      </c>
      <c r="I3136" t="n">
        <v>0.0439620653199972</v>
      </c>
      <c r="J3136" t="n">
        <v>0.2646806587446813</v>
      </c>
      <c r="K3136" t="n">
        <v>0.0842675127778698</v>
      </c>
      <c r="L3136" t="b">
        <v>1</v>
      </c>
      <c r="M3136" t="b">
        <v>1</v>
      </c>
      <c r="N3136" t="inlineStr">
        <is>
          <t>ref</t>
        </is>
      </c>
      <c r="O3136" t="n">
        <v>90</v>
      </c>
      <c r="P3136" t="n">
        <v>0.0502</v>
      </c>
      <c r="Q3136" t="n">
        <v>-90</v>
      </c>
      <c r="R3136" t="n">
        <v>0.11816</v>
      </c>
      <c r="S3136">
        <f>IMAGE("https://mitra.stanford.edu/kundaje/oak/projects/neuro-variants/variant_position/credible/roussos_2024/variant_figures/roussos_2024.infant.GLU/rs145065097_count_position.png",4,220,900)</f>
        <v/>
      </c>
      <c r="T3136">
        <f>IMAGE("https://mitra.stanford.edu/kundaje/oak/projects/neuro-variants/variant_position/credible/roussos_2024/variant_figures/roussos_2024.infant.GLU/rs145065097_profile_position.png",4,220,900)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0.0606240488</v>
      </c>
      <c r="G3137" t="n">
        <v>0.1185356079821825</v>
      </c>
      <c r="H3137" t="n">
        <v>0.0193612254149046</v>
      </c>
      <c r="I3137" t="n">
        <v>0.2003293192356547</v>
      </c>
      <c r="J3137" t="n">
        <v>0.0160298948389514</v>
      </c>
      <c r="K3137" t="n">
        <v>0.6106895402322429</v>
      </c>
      <c r="L3137" t="b">
        <v>0</v>
      </c>
      <c r="M3137" t="b">
        <v>0</v>
      </c>
      <c r="N3137" t="inlineStr">
        <is>
          <t>alt</t>
        </is>
      </c>
      <c r="O3137" t="n">
        <v>-100</v>
      </c>
      <c r="P3137" t="n">
        <v>0.010284</v>
      </c>
      <c r="Q3137" t="n">
        <v>-100</v>
      </c>
      <c r="R3137" t="n">
        <v>0.1714</v>
      </c>
      <c r="S3137">
        <f>IMAGE("https://mitra.stanford.edu/kundaje/oak/projects/neuro-variants/variant_position/credible/roussos_2024/variant_figures/roussos_2024.infant.GLU/rs12641736_count_position.png",4,220,900)</f>
        <v/>
      </c>
      <c r="T3137">
        <f>IMAGE("https://mitra.stanford.edu/kundaje/oak/projects/neuro-variants/variant_position/credible/roussos_2024/variant_figures/roussos_2024.infant.GLU/rs12641736_profile_position.png",4,220,900)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-0.0355448546</v>
      </c>
      <c r="G3138" t="n">
        <v>0.2881549802532442</v>
      </c>
      <c r="H3138" t="n">
        <v>0.0384191341957808</v>
      </c>
      <c r="I3138" t="n">
        <v>0.0236442766610275</v>
      </c>
      <c r="J3138" t="n">
        <v>0.09281619965166769</v>
      </c>
      <c r="K3138" t="n">
        <v>0.2198370162604261</v>
      </c>
      <c r="L3138" t="b">
        <v>0</v>
      </c>
      <c r="M3138" t="b">
        <v>0</v>
      </c>
      <c r="N3138" t="inlineStr">
        <is>
          <t>ref</t>
        </is>
      </c>
      <c r="O3138" t="n">
        <v>100</v>
      </c>
      <c r="P3138" t="n">
        <v>0.0227</v>
      </c>
      <c r="Q3138" t="n">
        <v>-65</v>
      </c>
      <c r="R3138" t="n">
        <v>0.0525</v>
      </c>
      <c r="S3138">
        <f>IMAGE("https://mitra.stanford.edu/kundaje/oak/projects/neuro-variants/variant_position/credible/roussos_2024/variant_figures/roussos_2024.infant.GLU/rs4834649_count_position.png",4,220,900)</f>
        <v/>
      </c>
      <c r="T3138">
        <f>IMAGE("https://mitra.stanford.edu/kundaje/oak/projects/neuro-variants/variant_position/credible/roussos_2024/variant_figures/roussos_2024.infant.GLU/rs4834649_profile_position.png",4,220,900)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0.0347872464</v>
      </c>
      <c r="G3139" t="n">
        <v>0.2642515185970984</v>
      </c>
      <c r="H3139" t="n">
        <v>0.047125526248807</v>
      </c>
      <c r="I3139" t="n">
        <v>0.0100659445280638</v>
      </c>
      <c r="J3139" t="n">
        <v>0.0400295420974888</v>
      </c>
      <c r="K3139" t="n">
        <v>0.39738974709539</v>
      </c>
      <c r="L3139" t="b">
        <v>1</v>
      </c>
      <c r="M3139" t="b">
        <v>0</v>
      </c>
      <c r="N3139" t="inlineStr">
        <is>
          <t>alt</t>
        </is>
      </c>
      <c r="O3139" t="n">
        <v>70</v>
      </c>
      <c r="P3139" t="n">
        <v>0.0094</v>
      </c>
      <c r="Q3139" t="n">
        <v>-100</v>
      </c>
      <c r="R3139" t="n">
        <v>0.06619999999999999</v>
      </c>
      <c r="S3139">
        <f>IMAGE("https://mitra.stanford.edu/kundaje/oak/projects/neuro-variants/variant_position/credible/roussos_2024/variant_figures/roussos_2024.infant.GLU/rs2389473_count_position.png",4,220,900)</f>
        <v/>
      </c>
      <c r="T3139">
        <f>IMAGE("https://mitra.stanford.edu/kundaje/oak/projects/neuro-variants/variant_position/credible/roussos_2024/variant_figures/roussos_2024.infant.GLU/rs2389473_profile_position.png",4,220,900)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0.0720815534</v>
      </c>
      <c r="G3140" t="n">
        <v>0.1014019577378923</v>
      </c>
      <c r="H3140" t="n">
        <v>0.0174261868611509</v>
      </c>
      <c r="I3140" t="n">
        <v>0.2733593401785392</v>
      </c>
      <c r="J3140" t="n">
        <v>0.0502358958530831</v>
      </c>
      <c r="K3140" t="n">
        <v>0.3428139306424566</v>
      </c>
      <c r="L3140" t="b">
        <v>0</v>
      </c>
      <c r="M3140" t="b">
        <v>0</v>
      </c>
      <c r="N3140" t="inlineStr">
        <is>
          <t>alt</t>
        </is>
      </c>
      <c r="O3140" t="n">
        <v>-95</v>
      </c>
      <c r="P3140" t="n">
        <v>0.09485</v>
      </c>
      <c r="Q3140" t="n">
        <v>-45</v>
      </c>
      <c r="R3140" t="n">
        <v>0.05615</v>
      </c>
      <c r="S3140">
        <f>IMAGE("https://mitra.stanford.edu/kundaje/oak/projects/neuro-variants/variant_position/credible/roussos_2024/variant_figures/roussos_2024.infant.GLU/rs13111689_count_position.png",4,220,900)</f>
        <v/>
      </c>
      <c r="T3140">
        <f>IMAGE("https://mitra.stanford.edu/kundaje/oak/projects/neuro-variants/variant_position/credible/roussos_2024/variant_figures/roussos_2024.infant.GLU/rs13111689_profile_position.png",4,220,900)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-0.0204504597599999</v>
      </c>
      <c r="G3141" t="n">
        <v>0.4399952957999677</v>
      </c>
      <c r="H3141" t="n">
        <v>0.0637270139930267</v>
      </c>
      <c r="I3141" t="n">
        <v>0.0023387404093758</v>
      </c>
      <c r="J3141" t="n">
        <v>0.0297008311470711</v>
      </c>
      <c r="K3141" t="n">
        <v>0.4604572239399351</v>
      </c>
      <c r="L3141" t="b">
        <v>1</v>
      </c>
      <c r="M3141" t="b">
        <v>0</v>
      </c>
      <c r="N3141" t="inlineStr">
        <is>
          <t>ref</t>
        </is>
      </c>
      <c r="O3141" t="n">
        <v>100</v>
      </c>
      <c r="P3141" t="n">
        <v>0.01807</v>
      </c>
      <c r="Q3141" t="n">
        <v>100</v>
      </c>
      <c r="R3141" t="n">
        <v>0.2252</v>
      </c>
      <c r="S3141">
        <f>IMAGE("https://mitra.stanford.edu/kundaje/oak/projects/neuro-variants/variant_position/credible/roussos_2024/variant_figures/roussos_2024.infant.GLU/rs10005201_count_position.png",4,220,900)</f>
        <v/>
      </c>
      <c r="T3141">
        <f>IMAGE("https://mitra.stanford.edu/kundaje/oak/projects/neuro-variants/variant_position/credible/roussos_2024/variant_figures/roussos_2024.infant.GLU/rs10005201_profile_position.png",4,220,900)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0.0696605418</v>
      </c>
      <c r="G3142" t="n">
        <v>0.1059063465224862</v>
      </c>
      <c r="H3142" t="n">
        <v>0.0312133986746172</v>
      </c>
      <c r="I3142" t="n">
        <v>0.0507797187694027</v>
      </c>
      <c r="J3142" t="n">
        <v>0.0433089353821732</v>
      </c>
      <c r="K3142" t="n">
        <v>0.3697432890193246</v>
      </c>
      <c r="L3142" t="b">
        <v>0</v>
      </c>
      <c r="M3142" t="b">
        <v>0</v>
      </c>
      <c r="N3142" t="inlineStr">
        <is>
          <t>alt</t>
        </is>
      </c>
      <c r="O3142" t="n">
        <v>70</v>
      </c>
      <c r="P3142" t="n">
        <v>0.0271</v>
      </c>
      <c r="Q3142" t="n">
        <v>100</v>
      </c>
      <c r="R3142" t="n">
        <v>0.0703</v>
      </c>
      <c r="S3142">
        <f>IMAGE("https://mitra.stanford.edu/kundaje/oak/projects/neuro-variants/variant_position/credible/roussos_2024/variant_figures/roussos_2024.infant.GLU/rs1994381_count_position.png",4,220,900)</f>
        <v/>
      </c>
      <c r="T3142">
        <f>IMAGE("https://mitra.stanford.edu/kundaje/oak/projects/neuro-variants/variant_position/credible/roussos_2024/variant_figures/roussos_2024.infant.GLU/rs1994381_profile_position.png",4,220,900)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0.0357604004</v>
      </c>
      <c r="G3143" t="n">
        <v>0.2578812077277848</v>
      </c>
      <c r="H3143" t="n">
        <v>0.0332728692934329</v>
      </c>
      <c r="I3143" t="n">
        <v>0.0404488936398339</v>
      </c>
      <c r="J3143" t="n">
        <v>0.011113560704601</v>
      </c>
      <c r="K3143" t="n">
        <v>0.6406886801383004</v>
      </c>
      <c r="L3143" t="b">
        <v>0</v>
      </c>
      <c r="M3143" t="b">
        <v>0</v>
      </c>
      <c r="N3143" t="inlineStr">
        <is>
          <t>alt</t>
        </is>
      </c>
      <c r="O3143" t="n">
        <v>-100</v>
      </c>
      <c r="P3143" t="n">
        <v>0.063</v>
      </c>
      <c r="Q3143" t="n">
        <v>-100</v>
      </c>
      <c r="R3143" t="n">
        <v>0.06665</v>
      </c>
      <c r="S3143">
        <f>IMAGE("https://mitra.stanford.edu/kundaje/oak/projects/neuro-variants/variant_position/credible/roussos_2024/variant_figures/roussos_2024.infant.GLU/rs2892779_count_position.png",4,220,900)</f>
        <v/>
      </c>
      <c r="T3143">
        <f>IMAGE("https://mitra.stanford.edu/kundaje/oak/projects/neuro-variants/variant_position/credible/roussos_2024/variant_figures/roussos_2024.infant.GLU/rs2892779_profile_position.png",4,220,900)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-0.0332964958</v>
      </c>
      <c r="G3144" t="n">
        <v>0.2841589595357316</v>
      </c>
      <c r="H3144" t="n">
        <v>0.0118711639131321</v>
      </c>
      <c r="I3144" t="n">
        <v>0.5719837760895549</v>
      </c>
      <c r="J3144" t="n">
        <v>0.1147479000859807</v>
      </c>
      <c r="K3144" t="n">
        <v>0.2097823221101065</v>
      </c>
      <c r="L3144" t="b">
        <v>0</v>
      </c>
      <c r="M3144" t="b">
        <v>0</v>
      </c>
      <c r="N3144" t="inlineStr">
        <is>
          <t>ref</t>
        </is>
      </c>
      <c r="O3144" t="n">
        <v>-5</v>
      </c>
      <c r="P3144" t="n">
        <v>0.00058</v>
      </c>
      <c r="Q3144" t="n">
        <v>0</v>
      </c>
      <c r="R3144" t="n">
        <v>0</v>
      </c>
      <c r="S3144">
        <f>IMAGE("https://mitra.stanford.edu/kundaje/oak/projects/neuro-variants/variant_position/credible/roussos_2024/variant_figures/roussos_2024.infant.GLU/rs1992418_count_position.png",4,220,900)</f>
        <v/>
      </c>
      <c r="T3144">
        <f>IMAGE("https://mitra.stanford.edu/kundaje/oak/projects/neuro-variants/variant_position/credible/roussos_2024/variant_figures/roussos_2024.infant.GLU/rs1992418_profile_position.png",4,220,900)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0.127407514</v>
      </c>
      <c r="G3145" t="n">
        <v>0.0309436121546028</v>
      </c>
      <c r="H3145" t="n">
        <v>0.0163882328453689</v>
      </c>
      <c r="I3145" t="n">
        <v>0.2980356001135242</v>
      </c>
      <c r="J3145" t="n">
        <v>0.1261149937167926</v>
      </c>
      <c r="K3145" t="n">
        <v>0.1782652292653723</v>
      </c>
      <c r="L3145" t="b">
        <v>0</v>
      </c>
      <c r="M3145" t="b">
        <v>0</v>
      </c>
      <c r="N3145" t="inlineStr">
        <is>
          <t>alt</t>
        </is>
      </c>
      <c r="O3145" t="n">
        <v>0</v>
      </c>
      <c r="P3145" t="n">
        <v>0</v>
      </c>
      <c r="Q3145" t="n">
        <v>100</v>
      </c>
      <c r="R3145" t="n">
        <v>0.0227</v>
      </c>
      <c r="S3145">
        <f>IMAGE("https://mitra.stanford.edu/kundaje/oak/projects/neuro-variants/variant_position/credible/roussos_2024/variant_figures/roussos_2024.infant.GLU/rs6537131_count_position.png",4,220,900)</f>
        <v/>
      </c>
      <c r="T3145">
        <f>IMAGE("https://mitra.stanford.edu/kundaje/oak/projects/neuro-variants/variant_position/credible/roussos_2024/variant_figures/roussos_2024.infant.GLU/rs6537131_profile_position.png",4,220,900)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0.06683031659999999</v>
      </c>
      <c r="G3146" t="n">
        <v>0.108884592110096</v>
      </c>
      <c r="H3146" t="n">
        <v>0.0211445645195216</v>
      </c>
      <c r="I3146" t="n">
        <v>0.1597597523408876</v>
      </c>
      <c r="J3146" t="n">
        <v>0.0896889261227098</v>
      </c>
      <c r="K3146" t="n">
        <v>0.2300335338123063</v>
      </c>
      <c r="L3146" t="b">
        <v>0</v>
      </c>
      <c r="M3146" t="b">
        <v>0</v>
      </c>
      <c r="N3146" t="inlineStr">
        <is>
          <t>alt</t>
        </is>
      </c>
      <c r="O3146" t="n">
        <v>-100</v>
      </c>
      <c r="P3146" t="n">
        <v>0.03687</v>
      </c>
      <c r="Q3146" t="n">
        <v>85</v>
      </c>
      <c r="R3146" t="n">
        <v>0.147</v>
      </c>
      <c r="S3146">
        <f>IMAGE("https://mitra.stanford.edu/kundaje/oak/projects/neuro-variants/variant_position/credible/roussos_2024/variant_figures/roussos_2024.infant.GLU/rs17016873_count_position.png",4,220,900)</f>
        <v/>
      </c>
      <c r="T3146">
        <f>IMAGE("https://mitra.stanford.edu/kundaje/oak/projects/neuro-variants/variant_position/credible/roussos_2024/variant_figures/roussos_2024.infant.GLU/rs17016873_profile_position.png",4,220,900)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-0.01621216208</v>
      </c>
      <c r="G3147" t="n">
        <v>0.4412709936215138</v>
      </c>
      <c r="H3147" t="n">
        <v>0.0224457632873641</v>
      </c>
      <c r="I3147" t="n">
        <v>0.1364640082287674</v>
      </c>
      <c r="J3147" t="n">
        <v>0.0804426905355055</v>
      </c>
      <c r="K3147" t="n">
        <v>0.2441769054163804</v>
      </c>
      <c r="L3147" t="b">
        <v>0</v>
      </c>
      <c r="M3147" t="b">
        <v>0</v>
      </c>
      <c r="N3147" t="inlineStr">
        <is>
          <t>ref</t>
        </is>
      </c>
      <c r="O3147" t="n">
        <v>-100</v>
      </c>
      <c r="P3147" t="n">
        <v>0.007645</v>
      </c>
      <c r="Q3147" t="n">
        <v>10</v>
      </c>
      <c r="R3147" t="n">
        <v>0.03418</v>
      </c>
      <c r="S3147">
        <f>IMAGE("https://mitra.stanford.edu/kundaje/oak/projects/neuro-variants/variant_position/credible/roussos_2024/variant_figures/roussos_2024.infant.GLU/rs7681616_count_position.png",4,220,900)</f>
        <v/>
      </c>
      <c r="T3147">
        <f>IMAGE("https://mitra.stanford.edu/kundaje/oak/projects/neuro-variants/variant_position/credible/roussos_2024/variant_figures/roussos_2024.infant.GLU/rs7681616_profile_position.png",4,220,900)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-0.0191644846</v>
      </c>
      <c r="G3148" t="n">
        <v>0.3748562282210221</v>
      </c>
      <c r="H3148" t="n">
        <v>0.0092767845990839</v>
      </c>
      <c r="I3148" t="n">
        <v>0.7994752462420699</v>
      </c>
      <c r="J3148" t="n">
        <v>0.0241429484777</v>
      </c>
      <c r="K3148" t="n">
        <v>0.5035200035296578</v>
      </c>
      <c r="L3148" t="b">
        <v>0</v>
      </c>
      <c r="M3148" t="b">
        <v>0</v>
      </c>
      <c r="N3148" t="inlineStr">
        <is>
          <t>ref</t>
        </is>
      </c>
      <c r="O3148" t="n">
        <v>25</v>
      </c>
      <c r="P3148" t="n">
        <v>0.004776</v>
      </c>
      <c r="Q3148" t="n">
        <v>-45</v>
      </c>
      <c r="R3148" t="n">
        <v>0.1554</v>
      </c>
      <c r="S3148">
        <f>IMAGE("https://mitra.stanford.edu/kundaje/oak/projects/neuro-variants/variant_position/credible/roussos_2024/variant_figures/roussos_2024.infant.GLU/rs7679474_count_position.png",4,220,900)</f>
        <v/>
      </c>
      <c r="T3148">
        <f>IMAGE("https://mitra.stanford.edu/kundaje/oak/projects/neuro-variants/variant_position/credible/roussos_2024/variant_figures/roussos_2024.infant.GLU/rs7679474_profile_position.png",4,220,900)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-0.1592008443999999</v>
      </c>
      <c r="G3149" t="n">
        <v>0.0208559466201511</v>
      </c>
      <c r="H3149" t="n">
        <v>0.0233740448625575</v>
      </c>
      <c r="I3149" t="n">
        <v>0.1304239089911968</v>
      </c>
      <c r="J3149" t="n">
        <v>0.0264710421305584</v>
      </c>
      <c r="K3149" t="n">
        <v>0.485052342127194</v>
      </c>
      <c r="L3149" t="b">
        <v>0</v>
      </c>
      <c r="M3149" t="b">
        <v>0</v>
      </c>
      <c r="N3149" t="inlineStr">
        <is>
          <t>ref</t>
        </is>
      </c>
      <c r="O3149" t="n">
        <v>95</v>
      </c>
      <c r="P3149" t="n">
        <v>0.008619999999999999</v>
      </c>
      <c r="Q3149" t="n">
        <v>90</v>
      </c>
      <c r="R3149" t="n">
        <v>0.137</v>
      </c>
      <c r="S3149">
        <f>IMAGE("https://mitra.stanford.edu/kundaje/oak/projects/neuro-variants/variant_position/credible/roussos_2024/variant_figures/roussos_2024.infant.GLU/rs10006846_count_position.png",4,220,900)</f>
        <v/>
      </c>
      <c r="T3149">
        <f>IMAGE("https://mitra.stanford.edu/kundaje/oak/projects/neuro-variants/variant_position/credible/roussos_2024/variant_figures/roussos_2024.infant.GLU/rs10006846_profile_position.png",4,220,900)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-0.01078091536</v>
      </c>
      <c r="G3150" t="n">
        <v>0.6230428979437892</v>
      </c>
      <c r="H3150" t="n">
        <v>0.0326719839065482</v>
      </c>
      <c r="I3150" t="n">
        <v>0.0434554736198546</v>
      </c>
      <c r="J3150" t="n">
        <v>0.0652681937432482</v>
      </c>
      <c r="K3150" t="n">
        <v>0.2924437987233498</v>
      </c>
      <c r="L3150" t="b">
        <v>0</v>
      </c>
      <c r="M3150" t="b">
        <v>0</v>
      </c>
      <c r="N3150" t="inlineStr">
        <is>
          <t>ref</t>
        </is>
      </c>
      <c r="O3150" t="n">
        <v>-100</v>
      </c>
      <c r="P3150" t="n">
        <v>0.014465</v>
      </c>
      <c r="Q3150" t="n">
        <v>20</v>
      </c>
      <c r="R3150" t="n">
        <v>0.01819</v>
      </c>
      <c r="S3150">
        <f>IMAGE("https://mitra.stanford.edu/kundaje/oak/projects/neuro-variants/variant_position/credible/roussos_2024/variant_figures/roussos_2024.infant.GLU/rs4690706_count_position.png",4,220,900)</f>
        <v/>
      </c>
      <c r="T3150">
        <f>IMAGE("https://mitra.stanford.edu/kundaje/oak/projects/neuro-variants/variant_position/credible/roussos_2024/variant_figures/roussos_2024.infant.GLU/rs4690706_profile_position.png",4,220,900)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0.00199748993</v>
      </c>
      <c r="G3151" t="n">
        <v>0.8684110771050465</v>
      </c>
      <c r="H3151" t="n">
        <v>0.0377529117650725</v>
      </c>
      <c r="I3151" t="n">
        <v>0.0258435452931948</v>
      </c>
      <c r="J3151" t="n">
        <v>0.1628893935051478</v>
      </c>
      <c r="K3151" t="n">
        <v>0.1362925655103948</v>
      </c>
      <c r="L3151" t="b">
        <v>0</v>
      </c>
      <c r="M3151" t="b">
        <v>0</v>
      </c>
      <c r="N3151" t="inlineStr">
        <is>
          <t>alt</t>
        </is>
      </c>
      <c r="O3151" t="n">
        <v>20</v>
      </c>
      <c r="P3151" t="n">
        <v>0.004883</v>
      </c>
      <c r="Q3151" t="n">
        <v>-75</v>
      </c>
      <c r="R3151" t="n">
        <v>0.08887</v>
      </c>
      <c r="S3151">
        <f>IMAGE("https://mitra.stanford.edu/kundaje/oak/projects/neuro-variants/variant_position/credible/roussos_2024/variant_figures/roussos_2024.infant.GLU/rs28390284_count_position.png",4,220,900)</f>
        <v/>
      </c>
      <c r="T3151">
        <f>IMAGE("https://mitra.stanford.edu/kundaje/oak/projects/neuro-variants/variant_position/credible/roussos_2024/variant_figures/roussos_2024.infant.GLU/rs28390284_profile_position.png",4,220,900)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0.0397254206</v>
      </c>
      <c r="G3152" t="n">
        <v>0.2305132006421062</v>
      </c>
      <c r="H3152" t="n">
        <v>0.0117615652571476</v>
      </c>
      <c r="I3152" t="n">
        <v>0.5657780297217041</v>
      </c>
      <c r="J3152" t="n">
        <v>0.1422937013602592</v>
      </c>
      <c r="K3152" t="n">
        <v>0.1515859485382955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0.04565</v>
      </c>
      <c r="Q3152" t="n">
        <v>95</v>
      </c>
      <c r="R3152" t="n">
        <v>0.009520000000000001</v>
      </c>
      <c r="S3152">
        <f>IMAGE("https://mitra.stanford.edu/kundaje/oak/projects/neuro-variants/variant_position/credible/roussos_2024/variant_figures/roussos_2024.infant.GLU/rs4690709_count_position.png",4,220,900)</f>
        <v/>
      </c>
      <c r="T3152">
        <f>IMAGE("https://mitra.stanford.edu/kundaje/oak/projects/neuro-variants/variant_position/credible/roussos_2024/variant_figures/roussos_2024.infant.GLU/rs4690709_profile_position.png",4,220,900)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-0.0138665975999999</v>
      </c>
      <c r="G3153" t="n">
        <v>0.2827021755163393</v>
      </c>
      <c r="H3153" t="n">
        <v>0.0125780690284482</v>
      </c>
      <c r="I3153" t="n">
        <v>0.5130578922807409</v>
      </c>
      <c r="J3153" t="n">
        <v>0.1926651822130117</v>
      </c>
      <c r="K3153" t="n">
        <v>0.11297804676829</v>
      </c>
      <c r="L3153" t="b">
        <v>0</v>
      </c>
      <c r="M3153" t="b">
        <v>0</v>
      </c>
      <c r="N3153" t="inlineStr">
        <is>
          <t>ref</t>
        </is>
      </c>
      <c r="O3153" t="n">
        <v>-75</v>
      </c>
      <c r="P3153" t="n">
        <v>0.01453</v>
      </c>
      <c r="Q3153" t="n">
        <v>-30</v>
      </c>
      <c r="R3153" t="n">
        <v>0.03613</v>
      </c>
      <c r="S3153">
        <f>IMAGE("https://mitra.stanford.edu/kundaje/oak/projects/neuro-variants/variant_position/credible/roussos_2024/variant_figures/roussos_2024.infant.GLU/rs1605954_count_position.png",4,220,900)</f>
        <v/>
      </c>
      <c r="T3153">
        <f>IMAGE("https://mitra.stanford.edu/kundaje/oak/projects/neuro-variants/variant_position/credible/roussos_2024/variant_figures/roussos_2024.infant.GLU/rs1605954_profile_position.png",4,220,900)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0.01670708628</v>
      </c>
      <c r="G3154" t="n">
        <v>0.4935899718116417</v>
      </c>
      <c r="H3154" t="n">
        <v>0.0077335914641426</v>
      </c>
      <c r="I3154" t="n">
        <v>0.886720412885078</v>
      </c>
      <c r="J3154" t="n">
        <v>0.4163936594722106</v>
      </c>
      <c r="K3154" t="n">
        <v>0.0429477739238556</v>
      </c>
      <c r="L3154" t="b">
        <v>0</v>
      </c>
      <c r="M3154" t="b">
        <v>0</v>
      </c>
      <c r="N3154" t="inlineStr">
        <is>
          <t>alt</t>
        </is>
      </c>
      <c r="O3154" t="n">
        <v>100</v>
      </c>
      <c r="P3154" t="n">
        <v>0.07434</v>
      </c>
      <c r="Q3154" t="n">
        <v>45</v>
      </c>
      <c r="R3154" t="n">
        <v>0.02722</v>
      </c>
      <c r="S3154">
        <f>IMAGE("https://mitra.stanford.edu/kundaje/oak/projects/neuro-variants/variant_position/credible/roussos_2024/variant_figures/roussos_2024.infant.GLU/rs28849788_count_position.png",4,220,900)</f>
        <v/>
      </c>
      <c r="T3154">
        <f>IMAGE("https://mitra.stanford.edu/kundaje/oak/projects/neuro-variants/variant_position/credible/roussos_2024/variant_figures/roussos_2024.infant.GLU/rs28849788_profile_position.png",4,220,900)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0.0642221378</v>
      </c>
      <c r="G3155" t="n">
        <v>0.110663535937131</v>
      </c>
      <c r="H3155" t="n">
        <v>0.0338264901226535</v>
      </c>
      <c r="I3155" t="n">
        <v>0.0380473045247378</v>
      </c>
      <c r="J3155" t="n">
        <v>0.0894442117330628</v>
      </c>
      <c r="K3155" t="n">
        <v>0.2263340229934573</v>
      </c>
      <c r="L3155" t="b">
        <v>0</v>
      </c>
      <c r="M3155" t="b">
        <v>0</v>
      </c>
      <c r="N3155" t="inlineStr">
        <is>
          <t>alt</t>
        </is>
      </c>
      <c r="O3155" t="n">
        <v>95</v>
      </c>
      <c r="P3155" t="n">
        <v>0.2229</v>
      </c>
      <c r="Q3155" t="n">
        <v>-45</v>
      </c>
      <c r="R3155" t="n">
        <v>0.05676</v>
      </c>
      <c r="S3155">
        <f>IMAGE("https://mitra.stanford.edu/kundaje/oak/projects/neuro-variants/variant_position/credible/roussos_2024/variant_figures/roussos_2024.infant.GLU/rs1510139_count_position.png",4,220,900)</f>
        <v/>
      </c>
      <c r="T3155">
        <f>IMAGE("https://mitra.stanford.edu/kundaje/oak/projects/neuro-variants/variant_position/credible/roussos_2024/variant_figures/roussos_2024.infant.GLU/rs1510139_profile_position.png",4,220,900)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0.009449457870000001</v>
      </c>
      <c r="G3156" t="n">
        <v>0.670899031528699</v>
      </c>
      <c r="H3156" t="n">
        <v>0.0100310124391948</v>
      </c>
      <c r="I3156" t="n">
        <v>0.7271229473971842</v>
      </c>
      <c r="J3156" t="n">
        <v>0.0094909499768513</v>
      </c>
      <c r="K3156" t="n">
        <v>0.6694250533556029</v>
      </c>
      <c r="L3156" t="b">
        <v>0</v>
      </c>
      <c r="M3156" t="b">
        <v>0</v>
      </c>
      <c r="N3156" t="inlineStr">
        <is>
          <t>alt</t>
        </is>
      </c>
      <c r="O3156" t="n">
        <v>-90</v>
      </c>
      <c r="P3156" t="n">
        <v>0.10175</v>
      </c>
      <c r="Q3156" t="n">
        <v>-90</v>
      </c>
      <c r="R3156" t="n">
        <v>0.1356</v>
      </c>
      <c r="S3156">
        <f>IMAGE("https://mitra.stanford.edu/kundaje/oak/projects/neuro-variants/variant_position/credible/roussos_2024/variant_figures/roussos_2024.infant.GLU/rs2083619_count_position.png",4,220,900)</f>
        <v/>
      </c>
      <c r="T3156">
        <f>IMAGE("https://mitra.stanford.edu/kundaje/oak/projects/neuro-variants/variant_position/credible/roussos_2024/variant_figures/roussos_2024.infant.GLU/rs2083619_profile_position.png",4,220,900)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-0.0077338445999999</v>
      </c>
      <c r="G3157" t="n">
        <v>0.2779261285147653</v>
      </c>
      <c r="H3157" t="n">
        <v>0.0146755968847835</v>
      </c>
      <c r="I3157" t="n">
        <v>0.3915998741363017</v>
      </c>
      <c r="J3157" t="n">
        <v>0.1381401706386824</v>
      </c>
      <c r="K3157" t="n">
        <v>0.1555370344991354</v>
      </c>
      <c r="L3157" t="b">
        <v>0</v>
      </c>
      <c r="M3157" t="b">
        <v>0</v>
      </c>
      <c r="N3157" t="inlineStr">
        <is>
          <t>ref</t>
        </is>
      </c>
      <c r="O3157" t="n">
        <v>-55</v>
      </c>
      <c r="P3157" t="n">
        <v>0.0004578</v>
      </c>
      <c r="Q3157" t="n">
        <v>-90</v>
      </c>
      <c r="R3157" t="n">
        <v>0.3152</v>
      </c>
      <c r="S3157">
        <f>IMAGE("https://mitra.stanford.edu/kundaje/oak/projects/neuro-variants/variant_position/credible/roussos_2024/variant_figures/roussos_2024.infant.GLU/rs10017013_count_position.png",4,220,900)</f>
        <v/>
      </c>
      <c r="T3157">
        <f>IMAGE("https://mitra.stanford.edu/kundaje/oak/projects/neuro-variants/variant_position/credible/roussos_2024/variant_figures/roussos_2024.infant.GLU/rs10017013_profile_position.png",4,220,900)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-0.0469653587999999</v>
      </c>
      <c r="G3158" t="n">
        <v>0.1847154712157682</v>
      </c>
      <c r="H3158" t="n">
        <v>0.0126856365287235</v>
      </c>
      <c r="I3158" t="n">
        <v>0.5032947961204233</v>
      </c>
      <c r="J3158" t="n">
        <v>0.0035957582839127</v>
      </c>
      <c r="K3158" t="n">
        <v>0.8005600652257262</v>
      </c>
      <c r="L3158" t="b">
        <v>0</v>
      </c>
      <c r="M3158" t="b">
        <v>0</v>
      </c>
      <c r="N3158" t="inlineStr">
        <is>
          <t>ref</t>
        </is>
      </c>
      <c r="O3158" t="n">
        <v>100</v>
      </c>
      <c r="P3158" t="n">
        <v>0.007324</v>
      </c>
      <c r="Q3158" t="n">
        <v>100</v>
      </c>
      <c r="R3158" t="n">
        <v>0.08673</v>
      </c>
      <c r="S3158">
        <f>IMAGE("https://mitra.stanford.edu/kundaje/oak/projects/neuro-variants/variant_position/credible/roussos_2024/variant_figures/roussos_2024.infant.GLU/rs1876939_count_position.png",4,220,900)</f>
        <v/>
      </c>
      <c r="T3158">
        <f>IMAGE("https://mitra.stanford.edu/kundaje/oak/projects/neuro-variants/variant_position/credible/roussos_2024/variant_figures/roussos_2024.infant.GLU/rs1876939_profile_position.png",4,220,900)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-0.00055937558</v>
      </c>
      <c r="G3159" t="n">
        <v>0.8650771063124854</v>
      </c>
      <c r="H3159" t="n">
        <v>0.0327196834910078</v>
      </c>
      <c r="I3159" t="n">
        <v>0.0431760504378928</v>
      </c>
      <c r="J3159" t="n">
        <v>0.072601909213166</v>
      </c>
      <c r="K3159" t="n">
        <v>0.270704008634194</v>
      </c>
      <c r="L3159" t="b">
        <v>0</v>
      </c>
      <c r="M3159" t="b">
        <v>0</v>
      </c>
      <c r="N3159" t="inlineStr">
        <is>
          <t>ref</t>
        </is>
      </c>
      <c r="O3159" t="n">
        <v>-30</v>
      </c>
      <c r="P3159" t="n">
        <v>0.0003967</v>
      </c>
      <c r="Q3159" t="n">
        <v>100</v>
      </c>
      <c r="R3159" t="n">
        <v>0.08716</v>
      </c>
      <c r="S3159">
        <f>IMAGE("https://mitra.stanford.edu/kundaje/oak/projects/neuro-variants/variant_position/credible/roussos_2024/variant_figures/roussos_2024.infant.GLU/rs2010483_count_position.png",4,220,900)</f>
        <v/>
      </c>
      <c r="T3159">
        <f>IMAGE("https://mitra.stanford.edu/kundaje/oak/projects/neuro-variants/variant_position/credible/roussos_2024/variant_figures/roussos_2024.infant.GLU/rs2010483_profile_position.png",4,220,900)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0.0256232285</v>
      </c>
      <c r="G3160" t="n">
        <v>0.358208961750158</v>
      </c>
      <c r="H3160" t="n">
        <v>0.0073301118430648</v>
      </c>
      <c r="I3160" t="n">
        <v>0.9422247264761612</v>
      </c>
      <c r="J3160" t="n">
        <v>0.0127042042373067</v>
      </c>
      <c r="K3160" t="n">
        <v>0.6301217035936741</v>
      </c>
      <c r="L3160" t="b">
        <v>0</v>
      </c>
      <c r="M3160" t="b">
        <v>0</v>
      </c>
      <c r="N3160" t="inlineStr">
        <is>
          <t>alt</t>
        </is>
      </c>
      <c r="O3160" t="n">
        <v>-100</v>
      </c>
      <c r="P3160" t="n">
        <v>0.01278</v>
      </c>
      <c r="Q3160" t="n">
        <v>-30</v>
      </c>
      <c r="R3160" t="n">
        <v>0.02258</v>
      </c>
      <c r="S3160">
        <f>IMAGE("https://mitra.stanford.edu/kundaje/oak/projects/neuro-variants/variant_position/credible/roussos_2024/variant_figures/roussos_2024.infant.GLU/rs4690738_count_position.png",4,220,900)</f>
        <v/>
      </c>
      <c r="T3160">
        <f>IMAGE("https://mitra.stanford.edu/kundaje/oak/projects/neuro-variants/variant_position/credible/roussos_2024/variant_figures/roussos_2024.infant.GLU/rs4690738_profile_position.png",4,220,900)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-0.0237535914</v>
      </c>
      <c r="G3161" t="n">
        <v>0.399139821239221</v>
      </c>
      <c r="H3161" t="n">
        <v>0.0116027832447372</v>
      </c>
      <c r="I3161" t="n">
        <v>0.5918138282613798</v>
      </c>
      <c r="J3161" t="n">
        <v>0.0013227804845785</v>
      </c>
      <c r="K3161" t="n">
        <v>0.8751912191659917</v>
      </c>
      <c r="L3161" t="b">
        <v>0</v>
      </c>
      <c r="M3161" t="b">
        <v>0</v>
      </c>
      <c r="N3161" t="inlineStr">
        <is>
          <t>ref</t>
        </is>
      </c>
      <c r="O3161" t="n">
        <v>100</v>
      </c>
      <c r="P3161" t="n">
        <v>0.01164</v>
      </c>
      <c r="Q3161" t="n">
        <v>-30</v>
      </c>
      <c r="R3161" t="n">
        <v>0.02663</v>
      </c>
      <c r="S3161">
        <f>IMAGE("https://mitra.stanford.edu/kundaje/oak/projects/neuro-variants/variant_position/credible/roussos_2024/variant_figures/roussos_2024.infant.GLU/rs13115045_count_position.png",4,220,900)</f>
        <v/>
      </c>
      <c r="T3161">
        <f>IMAGE("https://mitra.stanford.edu/kundaje/oak/projects/neuro-variants/variant_position/credible/roussos_2024/variant_figures/roussos_2024.infant.GLU/rs13115045_profile_position.png",4,220,900)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0.08758247</v>
      </c>
      <c r="G3162" t="n">
        <v>0.0680308655439071</v>
      </c>
      <c r="H3162" t="n">
        <v>0.0339352996546951</v>
      </c>
      <c r="I3162" t="n">
        <v>0.0382798426881534</v>
      </c>
      <c r="J3162" t="n">
        <v>0.0255142309133798</v>
      </c>
      <c r="K3162" t="n">
        <v>0.4848446675396782</v>
      </c>
      <c r="L3162" t="b">
        <v>0</v>
      </c>
      <c r="M3162" t="b">
        <v>0</v>
      </c>
      <c r="N3162" t="inlineStr">
        <is>
          <t>alt</t>
        </is>
      </c>
      <c r="O3162" t="n">
        <v>-30</v>
      </c>
      <c r="P3162" t="n">
        <v>0.0003815</v>
      </c>
      <c r="Q3162" t="n">
        <v>35</v>
      </c>
      <c r="R3162" t="n">
        <v>0.04614</v>
      </c>
      <c r="S3162">
        <f>IMAGE("https://mitra.stanford.edu/kundaje/oak/projects/neuro-variants/variant_position/credible/roussos_2024/variant_figures/roussos_2024.infant.GLU/rs10009395_count_position.png",4,220,900)</f>
        <v/>
      </c>
      <c r="T3162">
        <f>IMAGE("https://mitra.stanford.edu/kundaje/oak/projects/neuro-variants/variant_position/credible/roussos_2024/variant_figures/roussos_2024.infant.GLU/rs10009395_profile_position.png",4,220,900)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0.0612883748</v>
      </c>
      <c r="G3163" t="n">
        <v>0.1175414850471803</v>
      </c>
      <c r="H3163" t="n">
        <v>0.0110293273954808</v>
      </c>
      <c r="I3163" t="n">
        <v>0.6442051604162226</v>
      </c>
      <c r="J3163" t="n">
        <v>0.1380178134438589</v>
      </c>
      <c r="K3163" t="n">
        <v>0.1598766822588708</v>
      </c>
      <c r="L3163" t="b">
        <v>0</v>
      </c>
      <c r="M3163" t="b">
        <v>0</v>
      </c>
      <c r="N3163" t="inlineStr">
        <is>
          <t>alt</t>
        </is>
      </c>
      <c r="O3163" t="n">
        <v>-65</v>
      </c>
      <c r="P3163" t="n">
        <v>0.00407</v>
      </c>
      <c r="Q3163" t="n">
        <v>-100</v>
      </c>
      <c r="R3163" t="n">
        <v>0.1434</v>
      </c>
      <c r="S3163">
        <f>IMAGE("https://mitra.stanford.edu/kundaje/oak/projects/neuro-variants/variant_position/credible/roussos_2024/variant_figures/roussos_2024.infant.GLU/rs34596213_count_position.png",4,220,900)</f>
        <v/>
      </c>
      <c r="T3163">
        <f>IMAGE("https://mitra.stanford.edu/kundaje/oak/projects/neuro-variants/variant_position/credible/roussos_2024/variant_figures/roussos_2024.infant.GLU/rs34596213_profile_position.png",4,220,900)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0.0151489826</v>
      </c>
      <c r="G3164" t="n">
        <v>0.4106838492196282</v>
      </c>
      <c r="H3164" t="n">
        <v>0.0266049411506759</v>
      </c>
      <c r="I3164" t="n">
        <v>0.0839822171957624</v>
      </c>
      <c r="J3164" t="n">
        <v>0.1538437796247712</v>
      </c>
      <c r="K3164" t="n">
        <v>0.1413633185741127</v>
      </c>
      <c r="L3164" t="b">
        <v>0</v>
      </c>
      <c r="M3164" t="b">
        <v>0</v>
      </c>
      <c r="N3164" t="inlineStr">
        <is>
          <t>alt</t>
        </is>
      </c>
      <c r="O3164" t="n">
        <v>45</v>
      </c>
      <c r="P3164" t="n">
        <v>0.02621</v>
      </c>
      <c r="Q3164" t="n">
        <v>-60</v>
      </c>
      <c r="R3164" t="n">
        <v>0.1147</v>
      </c>
      <c r="S3164">
        <f>IMAGE("https://mitra.stanford.edu/kundaje/oak/projects/neuro-variants/variant_position/credible/roussos_2024/variant_figures/roussos_2024.infant.GLU/rs4690740_count_position.png",4,220,900)</f>
        <v/>
      </c>
      <c r="T3164">
        <f>IMAGE("https://mitra.stanford.edu/kundaje/oak/projects/neuro-variants/variant_position/credible/roussos_2024/variant_figures/roussos_2024.infant.GLU/rs4690740_profile_position.png",4,220,900)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-0.0695863517999999</v>
      </c>
      <c r="G3165" t="n">
        <v>0.1019974374131016</v>
      </c>
      <c r="H3165" t="n">
        <v>0.0119969738020785</v>
      </c>
      <c r="I3165" t="n">
        <v>0.5429517572514526</v>
      </c>
      <c r="J3165" t="n">
        <v>0.0225247470182322</v>
      </c>
      <c r="K3165" t="n">
        <v>0.5137266074249229</v>
      </c>
      <c r="L3165" t="b">
        <v>0</v>
      </c>
      <c r="M3165" t="b">
        <v>0</v>
      </c>
      <c r="N3165" t="inlineStr">
        <is>
          <t>ref</t>
        </is>
      </c>
      <c r="O3165" t="n">
        <v>-45</v>
      </c>
      <c r="P3165" t="n">
        <v>0.04227</v>
      </c>
      <c r="Q3165" t="n">
        <v>-70</v>
      </c>
      <c r="R3165" t="n">
        <v>0.06469999999999999</v>
      </c>
      <c r="S3165">
        <f>IMAGE("https://mitra.stanford.edu/kundaje/oak/projects/neuro-variants/variant_position/credible/roussos_2024/variant_figures/roussos_2024.infant.GLU/rs17678304_count_position.png",4,220,900)</f>
        <v/>
      </c>
      <c r="T3165">
        <f>IMAGE("https://mitra.stanford.edu/kundaje/oak/projects/neuro-variants/variant_position/credible/roussos_2024/variant_figures/roussos_2024.infant.GLU/rs17678304_profile_position.png",4,220,900)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-0.044553416</v>
      </c>
      <c r="G3166" t="n">
        <v>0.2112154032983765</v>
      </c>
      <c r="H3166" t="n">
        <v>0.0124959665389206</v>
      </c>
      <c r="I3166" t="n">
        <v>0.5216724225197839</v>
      </c>
      <c r="J3166" t="n">
        <v>0.0003858109746687</v>
      </c>
      <c r="K3166" t="n">
        <v>0.9517568045460084</v>
      </c>
      <c r="L3166" t="b">
        <v>0</v>
      </c>
      <c r="M3166" t="b">
        <v>0</v>
      </c>
      <c r="N3166" t="inlineStr">
        <is>
          <t>ref</t>
        </is>
      </c>
      <c r="O3166" t="n">
        <v>10</v>
      </c>
      <c r="P3166" t="n">
        <v>0.0008774</v>
      </c>
      <c r="Q3166" t="n">
        <v>80</v>
      </c>
      <c r="R3166" t="n">
        <v>0.01996</v>
      </c>
      <c r="S3166">
        <f>IMAGE("https://mitra.stanford.edu/kundaje/oak/projects/neuro-variants/variant_position/credible/roussos_2024/variant_figures/roussos_2024.infant.GLU/rs10026166_count_position.png",4,220,900)</f>
        <v/>
      </c>
      <c r="T3166">
        <f>IMAGE("https://mitra.stanford.edu/kundaje/oak/projects/neuro-variants/variant_position/credible/roussos_2024/variant_figures/roussos_2024.infant.GLU/rs10026166_profile_position.png",4,220,900)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-0.0216129446</v>
      </c>
      <c r="G3167" t="n">
        <v>0.2563988100471542</v>
      </c>
      <c r="H3167" t="n">
        <v>0.0456440612239384</v>
      </c>
      <c r="I3167" t="n">
        <v>0.012098147263917</v>
      </c>
      <c r="J3167" t="n">
        <v>0.08980356709803999</v>
      </c>
      <c r="K3167" t="n">
        <v>0.2314742380588173</v>
      </c>
      <c r="L3167" t="b">
        <v>1</v>
      </c>
      <c r="M3167" t="b">
        <v>0</v>
      </c>
      <c r="N3167" t="inlineStr">
        <is>
          <t>ref</t>
        </is>
      </c>
      <c r="O3167" t="n">
        <v>-85</v>
      </c>
      <c r="P3167" t="n">
        <v>0.1335</v>
      </c>
      <c r="Q3167" t="n">
        <v>-100</v>
      </c>
      <c r="R3167" t="n">
        <v>0.08777</v>
      </c>
      <c r="S3167">
        <f>IMAGE("https://mitra.stanford.edu/kundaje/oak/projects/neuro-variants/variant_position/credible/roussos_2024/variant_figures/roussos_2024.infant.GLU/rs7666854_count_position.png",4,220,900)</f>
        <v/>
      </c>
      <c r="T3167">
        <f>IMAGE("https://mitra.stanford.edu/kundaje/oak/projects/neuro-variants/variant_position/credible/roussos_2024/variant_figures/roussos_2024.infant.GLU/rs7666854_profile_position.png",4,220,900)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-0.00987028287</v>
      </c>
      <c r="G3168" t="n">
        <v>0.3912187991085981</v>
      </c>
      <c r="H3168" t="n">
        <v>0.0170352847790545</v>
      </c>
      <c r="I3168" t="n">
        <v>0.2999045338345623</v>
      </c>
      <c r="J3168" t="n">
        <v>0.0095427588791639</v>
      </c>
      <c r="K3168" t="n">
        <v>0.6811481053384003</v>
      </c>
      <c r="L3168" t="b">
        <v>0</v>
      </c>
      <c r="M3168" t="b">
        <v>0</v>
      </c>
      <c r="N3168" t="inlineStr">
        <is>
          <t>ref</t>
        </is>
      </c>
      <c r="O3168" t="n">
        <v>-40</v>
      </c>
      <c r="P3168" t="n">
        <v>0.0536</v>
      </c>
      <c r="Q3168" t="n">
        <v>-100</v>
      </c>
      <c r="R3168" t="n">
        <v>0.1434</v>
      </c>
      <c r="S3168">
        <f>IMAGE("https://mitra.stanford.edu/kundaje/oak/projects/neuro-variants/variant_position/credible/roussos_2024/variant_figures/roussos_2024.infant.GLU/rs11936467_count_position.png",4,220,900)</f>
        <v/>
      </c>
      <c r="T3168">
        <f>IMAGE("https://mitra.stanford.edu/kundaje/oak/projects/neuro-variants/variant_position/credible/roussos_2024/variant_figures/roussos_2024.infant.GLU/rs11936467_profile_position.png",4,220,900)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0.00050115674</v>
      </c>
      <c r="G3169" t="n">
        <v>0.8019485530666266</v>
      </c>
      <c r="H3169" t="n">
        <v>0.008182182068362</v>
      </c>
      <c r="I3169" t="n">
        <v>0.8897532639470376</v>
      </c>
      <c r="J3169" t="n">
        <v>0.0012191626799532</v>
      </c>
      <c r="K3169" t="n">
        <v>0.9082895410020312</v>
      </c>
      <c r="L3169" t="b">
        <v>0</v>
      </c>
      <c r="M3169" t="b">
        <v>0</v>
      </c>
      <c r="N3169" t="inlineStr">
        <is>
          <t>alt</t>
        </is>
      </c>
      <c r="O3169" t="n">
        <v>40</v>
      </c>
      <c r="P3169" t="n">
        <v>0.00851</v>
      </c>
      <c r="Q3169" t="n">
        <v>-75</v>
      </c>
      <c r="R3169" t="n">
        <v>0.01117</v>
      </c>
      <c r="S3169">
        <f>IMAGE("https://mitra.stanford.edu/kundaje/oak/projects/neuro-variants/variant_position/credible/roussos_2024/variant_figures/roussos_2024.infant.GLU/rs6820975_count_position.png",4,220,900)</f>
        <v/>
      </c>
      <c r="T3169">
        <f>IMAGE("https://mitra.stanford.edu/kundaje/oak/projects/neuro-variants/variant_position/credible/roussos_2024/variant_figures/roussos_2024.infant.GLU/rs6820975_profile_position.png",4,220,900)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-0.0117752978799999</v>
      </c>
      <c r="G3170" t="n">
        <v>0.5582779643999199</v>
      </c>
      <c r="H3170" t="n">
        <v>0.0116426536816843</v>
      </c>
      <c r="I3170" t="n">
        <v>0.5889475591585595</v>
      </c>
      <c r="J3170" t="n">
        <v>0.0012147534116712</v>
      </c>
      <c r="K3170" t="n">
        <v>0.9080872612484494</v>
      </c>
      <c r="L3170" t="b">
        <v>0</v>
      </c>
      <c r="M3170" t="b">
        <v>0</v>
      </c>
      <c r="N3170" t="inlineStr">
        <is>
          <t>ref</t>
        </is>
      </c>
      <c r="O3170" t="n">
        <v>30</v>
      </c>
      <c r="P3170" t="n">
        <v>0.004562</v>
      </c>
      <c r="Q3170" t="n">
        <v>-80</v>
      </c>
      <c r="R3170" t="n">
        <v>0.0174</v>
      </c>
      <c r="S3170">
        <f>IMAGE("https://mitra.stanford.edu/kundaje/oak/projects/neuro-variants/variant_position/credible/roussos_2024/variant_figures/roussos_2024.infant.GLU/rs6815888_count_position.png",4,220,900)</f>
        <v/>
      </c>
      <c r="T3170">
        <f>IMAGE("https://mitra.stanford.edu/kundaje/oak/projects/neuro-variants/variant_position/credible/roussos_2024/variant_figures/roussos_2024.infant.GLU/rs6815888_profile_position.png",4,220,900)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-0.00891210894</v>
      </c>
      <c r="G3171" t="n">
        <v>0.6055477655489305</v>
      </c>
      <c r="H3171" t="n">
        <v>0.0107325044581128</v>
      </c>
      <c r="I3171" t="n">
        <v>0.663742899868299</v>
      </c>
      <c r="J3171" t="n">
        <v>0.0040333781608941</v>
      </c>
      <c r="K3171" t="n">
        <v>0.8133500985603692</v>
      </c>
      <c r="L3171" t="b">
        <v>0</v>
      </c>
      <c r="M3171" t="b">
        <v>0</v>
      </c>
      <c r="N3171" t="inlineStr">
        <is>
          <t>ref</t>
        </is>
      </c>
      <c r="O3171" t="n">
        <v>-25</v>
      </c>
      <c r="P3171" t="n">
        <v>0.001503</v>
      </c>
      <c r="Q3171" t="n">
        <v>25</v>
      </c>
      <c r="R3171" t="n">
        <v>0.07043000000000001</v>
      </c>
      <c r="S3171">
        <f>IMAGE("https://mitra.stanford.edu/kundaje/oak/projects/neuro-variants/variant_position/credible/roussos_2024/variant_figures/roussos_2024.infant.GLU/rs13101590_count_position.png",4,220,900)</f>
        <v/>
      </c>
      <c r="T3171">
        <f>IMAGE("https://mitra.stanford.edu/kundaje/oak/projects/neuro-variants/variant_position/credible/roussos_2024/variant_figures/roussos_2024.infant.GLU/rs13101590_profile_position.png",4,220,900)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-0.00157831572</v>
      </c>
      <c r="G3172" t="n">
        <v>0.2871447063250669</v>
      </c>
      <c r="H3172" t="n">
        <v>0.0152274600325018</v>
      </c>
      <c r="I3172" t="n">
        <v>0.3868925828970416</v>
      </c>
      <c r="J3172" t="n">
        <v>0.0042362045018628</v>
      </c>
      <c r="K3172" t="n">
        <v>0.8027474217363595</v>
      </c>
      <c r="L3172" t="b">
        <v>0</v>
      </c>
      <c r="M3172" t="b">
        <v>0</v>
      </c>
      <c r="N3172" t="inlineStr">
        <is>
          <t>ref</t>
        </is>
      </c>
      <c r="O3172" t="n">
        <v>-100</v>
      </c>
      <c r="P3172" t="n">
        <v>0.002533</v>
      </c>
      <c r="Q3172" t="n">
        <v>20</v>
      </c>
      <c r="R3172" t="n">
        <v>0.04956</v>
      </c>
      <c r="S3172">
        <f>IMAGE("https://mitra.stanford.edu/kundaje/oak/projects/neuro-variants/variant_position/credible/roussos_2024/variant_figures/roussos_2024.infant.GLU/rs13128465_count_position.png",4,220,900)</f>
        <v/>
      </c>
      <c r="T3172">
        <f>IMAGE("https://mitra.stanford.edu/kundaje/oak/projects/neuro-variants/variant_position/credible/roussos_2024/variant_figures/roussos_2024.infant.GLU/rs13128465_profile_position.png",4,220,900)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0.0140038008</v>
      </c>
      <c r="G3173" t="n">
        <v>0.5403941656554009</v>
      </c>
      <c r="H3173" t="n">
        <v>0.0376291338425154</v>
      </c>
      <c r="I3173" t="n">
        <v>0.0257379768094448</v>
      </c>
      <c r="J3173" t="n">
        <v>0.1674221212989704</v>
      </c>
      <c r="K3173" t="n">
        <v>0.1305491751028128</v>
      </c>
      <c r="L3173" t="b">
        <v>0</v>
      </c>
      <c r="M3173" t="b">
        <v>0</v>
      </c>
      <c r="N3173" t="inlineStr">
        <is>
          <t>alt</t>
        </is>
      </c>
      <c r="O3173" t="n">
        <v>-95</v>
      </c>
      <c r="P3173" t="n">
        <v>0.01169</v>
      </c>
      <c r="Q3173" t="n">
        <v>-95</v>
      </c>
      <c r="R3173" t="n">
        <v>0.0856</v>
      </c>
      <c r="S3173">
        <f>IMAGE("https://mitra.stanford.edu/kundaje/oak/projects/neuro-variants/variant_position/credible/roussos_2024/variant_figures/roussos_2024.infant.GLU/rs13147901_count_position.png",4,220,900)</f>
        <v/>
      </c>
      <c r="T3173">
        <f>IMAGE("https://mitra.stanford.edu/kundaje/oak/projects/neuro-variants/variant_position/credible/roussos_2024/variant_figures/roussos_2024.infant.GLU/rs13147901_profile_position.png",4,220,900)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-0.009093604908</v>
      </c>
      <c r="G3174" t="n">
        <v>0.6574940940265187</v>
      </c>
      <c r="H3174" t="n">
        <v>0.0429041150364365</v>
      </c>
      <c r="I3174" t="n">
        <v>0.0153672117481826</v>
      </c>
      <c r="J3174" t="n">
        <v>0.0037500826737802</v>
      </c>
      <c r="K3174" t="n">
        <v>0.7859645723300934</v>
      </c>
      <c r="L3174" t="b">
        <v>0</v>
      </c>
      <c r="M3174" t="b">
        <v>0</v>
      </c>
      <c r="N3174" t="inlineStr">
        <is>
          <t>ref</t>
        </is>
      </c>
      <c r="O3174" t="n">
        <v>95</v>
      </c>
      <c r="P3174" t="n">
        <v>0.0501</v>
      </c>
      <c r="Q3174" t="n">
        <v>100</v>
      </c>
      <c r="R3174" t="n">
        <v>0.03018</v>
      </c>
      <c r="S3174">
        <f>IMAGE("https://mitra.stanford.edu/kundaje/oak/projects/neuro-variants/variant_position/credible/roussos_2024/variant_figures/roussos_2024.infant.GLU/rs4690743_count_position.png",4,220,900)</f>
        <v/>
      </c>
      <c r="T3174">
        <f>IMAGE("https://mitra.stanford.edu/kundaje/oak/projects/neuro-variants/variant_position/credible/roussos_2024/variant_figures/roussos_2024.infant.GLU/rs4690743_profile_position.png",4,220,900)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0.0357082299999999</v>
      </c>
      <c r="G3175" t="n">
        <v>0.260027102950759</v>
      </c>
      <c r="H3175" t="n">
        <v>0.0128905022238532</v>
      </c>
      <c r="I3175" t="n">
        <v>0.4936043464937304</v>
      </c>
      <c r="J3175" t="n">
        <v>0.0095118940011904</v>
      </c>
      <c r="K3175" t="n">
        <v>0.6773253424789119</v>
      </c>
      <c r="L3175" t="b">
        <v>0</v>
      </c>
      <c r="M3175" t="b">
        <v>0</v>
      </c>
      <c r="N3175" t="inlineStr">
        <is>
          <t>alt</t>
        </is>
      </c>
      <c r="O3175" t="n">
        <v>100</v>
      </c>
      <c r="P3175" t="n">
        <v>0.5825</v>
      </c>
      <c r="Q3175" t="n">
        <v>95</v>
      </c>
      <c r="R3175" t="n">
        <v>0.2101</v>
      </c>
      <c r="S3175">
        <f>IMAGE("https://mitra.stanford.edu/kundaje/oak/projects/neuro-variants/variant_position/credible/roussos_2024/variant_figures/roussos_2024.infant.GLU/rs13110491_count_position.png",4,220,900)</f>
        <v/>
      </c>
      <c r="T3175">
        <f>IMAGE("https://mitra.stanford.edu/kundaje/oak/projects/neuro-variants/variant_position/credible/roussos_2024/variant_figures/roussos_2024.infant.GLU/rs13110491_profile_position.png",4,220,900)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0.07279738400000001</v>
      </c>
      <c r="G3176" t="n">
        <v>0.1003593511501603</v>
      </c>
      <c r="H3176" t="n">
        <v>0.0132096744540359</v>
      </c>
      <c r="I3176" t="n">
        <v>0.4528566875792696</v>
      </c>
      <c r="J3176" t="n">
        <v>0.0103959522917171</v>
      </c>
      <c r="K3176" t="n">
        <v>0.6548630087621778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0.1796</v>
      </c>
      <c r="Q3176" t="n">
        <v>-35</v>
      </c>
      <c r="R3176" t="n">
        <v>0.0638</v>
      </c>
      <c r="S3176">
        <f>IMAGE("https://mitra.stanford.edu/kundaje/oak/projects/neuro-variants/variant_position/credible/roussos_2024/variant_figures/roussos_2024.infant.GLU/rs9308158_count_position.png",4,220,900)</f>
        <v/>
      </c>
      <c r="T3176">
        <f>IMAGE("https://mitra.stanford.edu/kundaje/oak/projects/neuro-variants/variant_position/credible/roussos_2024/variant_figures/roussos_2024.infant.GLU/rs9308158_profile_position.png",4,220,900)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-0.2469602599999999</v>
      </c>
      <c r="G3177" t="n">
        <v>0.0058354662761009</v>
      </c>
      <c r="H3177" t="n">
        <v>0.059137769020421</v>
      </c>
      <c r="I3177" t="n">
        <v>0.0033443050882684</v>
      </c>
      <c r="J3177" t="n">
        <v>0.2630161599682532</v>
      </c>
      <c r="K3177" t="n">
        <v>0.08017730292356599</v>
      </c>
      <c r="L3177" t="b">
        <v>1</v>
      </c>
      <c r="M3177" t="b">
        <v>1</v>
      </c>
      <c r="N3177" t="inlineStr">
        <is>
          <t>ref</t>
        </is>
      </c>
      <c r="O3177" t="n">
        <v>-35</v>
      </c>
      <c r="P3177" t="n">
        <v>0.00631</v>
      </c>
      <c r="Q3177" t="n">
        <v>-80</v>
      </c>
      <c r="R3177" t="n">
        <v>0.0939</v>
      </c>
      <c r="S3177">
        <f>IMAGE("https://mitra.stanford.edu/kundaje/oak/projects/neuro-variants/variant_position/credible/roussos_2024/variant_figures/roussos_2024.infant.GLU/rs1510140_count_position.png",4,220,900)</f>
        <v/>
      </c>
      <c r="T3177">
        <f>IMAGE("https://mitra.stanford.edu/kundaje/oak/projects/neuro-variants/variant_position/credible/roussos_2024/variant_figures/roussos_2024.infant.GLU/rs1510140_profile_position.png",4,220,900)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0.06654715260000001</v>
      </c>
      <c r="G3178" t="n">
        <v>0.1079552483176859</v>
      </c>
      <c r="H3178" t="n">
        <v>0.0134524951639137</v>
      </c>
      <c r="I3178" t="n">
        <v>0.4534574931563662</v>
      </c>
      <c r="J3178" t="n">
        <v>0.009046716197446901</v>
      </c>
      <c r="K3178" t="n">
        <v>0.6759053161278021</v>
      </c>
      <c r="L3178" t="b">
        <v>0</v>
      </c>
      <c r="M3178" t="b">
        <v>0</v>
      </c>
      <c r="N3178" t="inlineStr">
        <is>
          <t>alt</t>
        </is>
      </c>
      <c r="O3178" t="n">
        <v>100</v>
      </c>
      <c r="P3178" t="n">
        <v>0.05304</v>
      </c>
      <c r="Q3178" t="n">
        <v>90</v>
      </c>
      <c r="R3178" t="n">
        <v>0.0963</v>
      </c>
      <c r="S3178">
        <f>IMAGE("https://mitra.stanford.edu/kundaje/oak/projects/neuro-variants/variant_position/credible/roussos_2024/variant_figures/roussos_2024.infant.GLU/rs2341895_count_position.png",4,220,900)</f>
        <v/>
      </c>
      <c r="T3178">
        <f>IMAGE("https://mitra.stanford.edu/kundaje/oak/projects/neuro-variants/variant_position/credible/roussos_2024/variant_figures/roussos_2024.infant.GLU/rs2341895_profile_position.png",4,220,900)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0.0173551375999999</v>
      </c>
      <c r="G3179" t="n">
        <v>0.483017470165385</v>
      </c>
      <c r="H3179" t="n">
        <v>0.0473995350905675</v>
      </c>
      <c r="I3179" t="n">
        <v>0.0100000856189614</v>
      </c>
      <c r="J3179" t="n">
        <v>0.0255980070107365</v>
      </c>
      <c r="K3179" t="n">
        <v>0.4840016822345134</v>
      </c>
      <c r="L3179" t="b">
        <v>1</v>
      </c>
      <c r="M3179" t="b">
        <v>0</v>
      </c>
      <c r="N3179" t="inlineStr">
        <is>
          <t>alt</t>
        </is>
      </c>
      <c r="O3179" t="n">
        <v>-60</v>
      </c>
      <c r="P3179" t="n">
        <v>0.03577</v>
      </c>
      <c r="Q3179" t="n">
        <v>-100</v>
      </c>
      <c r="R3179" t="n">
        <v>0.0545</v>
      </c>
      <c r="S3179">
        <f>IMAGE("https://mitra.stanford.edu/kundaje/oak/projects/neuro-variants/variant_position/credible/roussos_2024/variant_figures/roussos_2024.infant.GLU/rs12651028_count_position.png",4,220,900)</f>
        <v/>
      </c>
      <c r="T3179">
        <f>IMAGE("https://mitra.stanford.edu/kundaje/oak/projects/neuro-variants/variant_position/credible/roussos_2024/variant_figures/roussos_2024.infant.GLU/rs12651028_profile_position.png",4,220,900)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-0.013088703106</v>
      </c>
      <c r="G3180" t="n">
        <v>0.5325346637246494</v>
      </c>
      <c r="H3180" t="n">
        <v>0.0106562018848467</v>
      </c>
      <c r="I3180" t="n">
        <v>0.656872096853125</v>
      </c>
      <c r="J3180" t="n">
        <v>0.004037787429176</v>
      </c>
      <c r="K3180" t="n">
        <v>0.8020933810300378</v>
      </c>
      <c r="L3180" t="b">
        <v>0</v>
      </c>
      <c r="M3180" t="b">
        <v>0</v>
      </c>
      <c r="N3180" t="inlineStr">
        <is>
          <t>ref</t>
        </is>
      </c>
      <c r="O3180" t="n">
        <v>75</v>
      </c>
      <c r="P3180" t="n">
        <v>0.01119</v>
      </c>
      <c r="Q3180" t="n">
        <v>-20</v>
      </c>
      <c r="R3180" t="n">
        <v>0.02124</v>
      </c>
      <c r="S3180">
        <f>IMAGE("https://mitra.stanford.edu/kundaje/oak/projects/neuro-variants/variant_position/credible/roussos_2024/variant_figures/roussos_2024.infant.GLU/rs982012_count_position.png",4,220,900)</f>
        <v/>
      </c>
      <c r="T3180">
        <f>IMAGE("https://mitra.stanford.edu/kundaje/oak/projects/neuro-variants/variant_position/credible/roussos_2024/variant_figures/roussos_2024.infant.GLU/rs982012_profile_position.png",4,220,900)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0.1187934779999999</v>
      </c>
      <c r="G3181" t="n">
        <v>0.0420294686040887</v>
      </c>
      <c r="H3181" t="n">
        <v>0.0327080486112765</v>
      </c>
      <c r="I3181" t="n">
        <v>0.0447077660343377</v>
      </c>
      <c r="J3181" t="n">
        <v>0.0058775546198107</v>
      </c>
      <c r="K3181" t="n">
        <v>0.7590561771225455</v>
      </c>
      <c r="L3181" t="b">
        <v>0</v>
      </c>
      <c r="M3181" t="b">
        <v>0</v>
      </c>
      <c r="N3181" t="inlineStr">
        <is>
          <t>alt</t>
        </is>
      </c>
      <c r="O3181" t="n">
        <v>100</v>
      </c>
      <c r="P3181" t="n">
        <v>0.01482</v>
      </c>
      <c r="Q3181" t="n">
        <v>-50</v>
      </c>
      <c r="R3181" t="n">
        <v>0.0432</v>
      </c>
      <c r="S3181">
        <f>IMAGE("https://mitra.stanford.edu/kundaje/oak/projects/neuro-variants/variant_position/credible/roussos_2024/variant_figures/roussos_2024.infant.GLU/rs877367_count_position.png",4,220,900)</f>
        <v/>
      </c>
      <c r="T3181">
        <f>IMAGE("https://mitra.stanford.edu/kundaje/oak/projects/neuro-variants/variant_position/credible/roussos_2024/variant_figures/roussos_2024.infant.GLU/rs877367_profile_position.png",4,220,900)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0.216328814</v>
      </c>
      <c r="G3182" t="n">
        <v>0.008518057043748001</v>
      </c>
      <c r="H3182" t="n">
        <v>0.0272618557145625</v>
      </c>
      <c r="I3182" t="n">
        <v>0.08044816408127919</v>
      </c>
      <c r="J3182" t="n">
        <v>0.1116426728984324</v>
      </c>
      <c r="K3182" t="n">
        <v>0.2009751311798928</v>
      </c>
      <c r="L3182" t="b">
        <v>1</v>
      </c>
      <c r="M3182" t="b">
        <v>1</v>
      </c>
      <c r="N3182" t="inlineStr">
        <is>
          <t>alt</t>
        </is>
      </c>
      <c r="O3182" t="n">
        <v>-100</v>
      </c>
      <c r="P3182" t="n">
        <v>0.08295</v>
      </c>
      <c r="Q3182" t="n">
        <v>30</v>
      </c>
      <c r="R3182" t="n">
        <v>0.06104</v>
      </c>
      <c r="S3182">
        <f>IMAGE("https://mitra.stanford.edu/kundaje/oak/projects/neuro-variants/variant_position/credible/roussos_2024/variant_figures/roussos_2024.infant.GLU/rs1037027_count_position.png",4,220,900)</f>
        <v/>
      </c>
      <c r="T3182">
        <f>IMAGE("https://mitra.stanford.edu/kundaje/oak/projects/neuro-variants/variant_position/credible/roussos_2024/variant_figures/roussos_2024.infant.GLU/rs1037027_profile_position.png",4,220,900)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-0.00580555106</v>
      </c>
      <c r="G3183" t="n">
        <v>0.7747286867134096</v>
      </c>
      <c r="H3183" t="n">
        <v>0.0116321577189837</v>
      </c>
      <c r="I3183" t="n">
        <v>0.5925577959026059</v>
      </c>
      <c r="J3183" t="n">
        <v>0.018898123856346</v>
      </c>
      <c r="K3183" t="n">
        <v>0.5502431348111272</v>
      </c>
      <c r="L3183" t="b">
        <v>0</v>
      </c>
      <c r="M3183" t="b">
        <v>0</v>
      </c>
      <c r="N3183" t="inlineStr">
        <is>
          <t>ref</t>
        </is>
      </c>
      <c r="O3183" t="n">
        <v>-95</v>
      </c>
      <c r="P3183" t="n">
        <v>0.2076</v>
      </c>
      <c r="Q3183" t="n">
        <v>-90</v>
      </c>
      <c r="R3183" t="n">
        <v>0.10596</v>
      </c>
      <c r="S3183">
        <f>IMAGE("https://mitra.stanford.edu/kundaje/oak/projects/neuro-variants/variant_position/credible/roussos_2024/variant_figures/roussos_2024.infant.GLU/rs1955154_count_position.png",4,220,900)</f>
        <v/>
      </c>
      <c r="T3183">
        <f>IMAGE("https://mitra.stanford.edu/kundaje/oak/projects/neuro-variants/variant_position/credible/roussos_2024/variant_figures/roussos_2024.infant.GLU/rs1955154_profile_position.png",4,220,900)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-0.0192443269</v>
      </c>
      <c r="G3184" t="n">
        <v>0.4594315666974233</v>
      </c>
      <c r="H3184" t="n">
        <v>0.0506738413589824</v>
      </c>
      <c r="I3184" t="n">
        <v>0.0070998016424147</v>
      </c>
      <c r="J3184" t="n">
        <v>0.0163054741065719</v>
      </c>
      <c r="K3184" t="n">
        <v>0.5781765337593663</v>
      </c>
      <c r="L3184" t="b">
        <v>1</v>
      </c>
      <c r="M3184" t="b">
        <v>0</v>
      </c>
      <c r="N3184" t="inlineStr">
        <is>
          <t>ref</t>
        </is>
      </c>
      <c r="O3184" t="n">
        <v>65</v>
      </c>
      <c r="P3184" t="n">
        <v>0.003662</v>
      </c>
      <c r="Q3184" t="n">
        <v>-60</v>
      </c>
      <c r="R3184" t="n">
        <v>0.1345</v>
      </c>
      <c r="S3184">
        <f>IMAGE("https://mitra.stanford.edu/kundaje/oak/projects/neuro-variants/variant_position/credible/roussos_2024/variant_figures/roussos_2024.infant.GLU/rs1899932_count_position.png",4,220,900)</f>
        <v/>
      </c>
      <c r="T3184">
        <f>IMAGE("https://mitra.stanford.edu/kundaje/oak/projects/neuro-variants/variant_position/credible/roussos_2024/variant_figures/roussos_2024.infant.GLU/rs1899932_profile_position.png",4,220,900)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0.0179650568999999</v>
      </c>
      <c r="G3185" t="n">
        <v>0.4715682649016365</v>
      </c>
      <c r="H3185" t="n">
        <v>0.0230472921858683</v>
      </c>
      <c r="I3185" t="n">
        <v>0.1267673021293824</v>
      </c>
      <c r="J3185" t="n">
        <v>0.0423477148967128</v>
      </c>
      <c r="K3185" t="n">
        <v>0.375891123676813</v>
      </c>
      <c r="L3185" t="b">
        <v>0</v>
      </c>
      <c r="M3185" t="b">
        <v>0</v>
      </c>
      <c r="N3185" t="inlineStr">
        <is>
          <t>alt</t>
        </is>
      </c>
      <c r="O3185" t="n">
        <v>-15</v>
      </c>
      <c r="P3185" t="n">
        <v>0.003998</v>
      </c>
      <c r="Q3185" t="n">
        <v>-15</v>
      </c>
      <c r="R3185" t="n">
        <v>0.0083</v>
      </c>
      <c r="S3185">
        <f>IMAGE("https://mitra.stanford.edu/kundaje/oak/projects/neuro-variants/variant_position/credible/roussos_2024/variant_figures/roussos_2024.infant.GLU/rs1020356_count_position.png",4,220,900)</f>
        <v/>
      </c>
      <c r="T3185">
        <f>IMAGE("https://mitra.stanford.edu/kundaje/oak/projects/neuro-variants/variant_position/credible/roussos_2024/variant_figures/roussos_2024.infant.GLU/rs1020356_profile_position.png",4,220,900)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0.0236113069999999</v>
      </c>
      <c r="G3186" t="n">
        <v>0.3878235304521333</v>
      </c>
      <c r="H3186" t="n">
        <v>0.0332432227598813</v>
      </c>
      <c r="I3186" t="n">
        <v>0.0406937567710615</v>
      </c>
      <c r="J3186" t="n">
        <v>0.253424899137988</v>
      </c>
      <c r="K3186" t="n">
        <v>0.08457297468279321</v>
      </c>
      <c r="L3186" t="b">
        <v>0</v>
      </c>
      <c r="M3186" t="b">
        <v>0</v>
      </c>
      <c r="N3186" t="inlineStr">
        <is>
          <t>alt</t>
        </is>
      </c>
      <c r="O3186" t="n">
        <v>95</v>
      </c>
      <c r="P3186" t="n">
        <v>0.014656</v>
      </c>
      <c r="Q3186" t="n">
        <v>85</v>
      </c>
      <c r="R3186" t="n">
        <v>0.3008</v>
      </c>
      <c r="S3186">
        <f>IMAGE("https://mitra.stanford.edu/kundaje/oak/projects/neuro-variants/variant_position/credible/roussos_2024/variant_figures/roussos_2024.infant.GLU/rs116327309_count_position.png",4,220,900)</f>
        <v/>
      </c>
      <c r="T3186">
        <f>IMAGE("https://mitra.stanford.edu/kundaje/oak/projects/neuro-variants/variant_position/credible/roussos_2024/variant_figures/roussos_2024.infant.GLU/rs116327309_profile_position.png",4,220,900)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-0.00595215278</v>
      </c>
      <c r="G3187" t="n">
        <v>0.7669169532648724</v>
      </c>
      <c r="H3187" t="n">
        <v>0.0265878329661998</v>
      </c>
      <c r="I3187" t="n">
        <v>0.08370334754741519</v>
      </c>
      <c r="J3187" t="n">
        <v>0.0584371348574703</v>
      </c>
      <c r="K3187" t="n">
        <v>0.3105087833880972</v>
      </c>
      <c r="L3187" t="b">
        <v>0</v>
      </c>
      <c r="M3187" t="b">
        <v>0</v>
      </c>
      <c r="N3187" t="inlineStr">
        <is>
          <t>ref</t>
        </is>
      </c>
      <c r="O3187" t="n">
        <v>-50</v>
      </c>
      <c r="P3187" t="n">
        <v>0.02565</v>
      </c>
      <c r="Q3187" t="n">
        <v>-100</v>
      </c>
      <c r="R3187" t="n">
        <v>0.3281</v>
      </c>
      <c r="S3187">
        <f>IMAGE("https://mitra.stanford.edu/kundaje/oak/projects/neuro-variants/variant_position/credible/roussos_2024/variant_figures/roussos_2024.infant.GLU/rs17311826_count_position.png",4,220,900)</f>
        <v/>
      </c>
      <c r="T3187">
        <f>IMAGE("https://mitra.stanford.edu/kundaje/oak/projects/neuro-variants/variant_position/credible/roussos_2024/variant_figures/roussos_2024.infant.GLU/rs17311826_profile_position.png",4,220,900)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-0.501752548</v>
      </c>
      <c r="G3188" t="n">
        <v>0.000415384722932</v>
      </c>
      <c r="H3188" t="n">
        <v>0.071875483311408</v>
      </c>
      <c r="I3188" t="n">
        <v>0.001172157369847</v>
      </c>
      <c r="J3188" t="n">
        <v>0.1248021340858483</v>
      </c>
      <c r="K3188" t="n">
        <v>0.173816236451563</v>
      </c>
      <c r="L3188" t="b">
        <v>1</v>
      </c>
      <c r="M3188" t="b">
        <v>1</v>
      </c>
      <c r="N3188" t="inlineStr">
        <is>
          <t>ref</t>
        </is>
      </c>
      <c r="O3188" t="n">
        <v>25</v>
      </c>
      <c r="P3188" t="n">
        <v>0.06165</v>
      </c>
      <c r="Q3188" t="n">
        <v>25</v>
      </c>
      <c r="R3188" t="n">
        <v>0.05615</v>
      </c>
      <c r="S3188">
        <f>IMAGE("https://mitra.stanford.edu/kundaje/oak/projects/neuro-variants/variant_position/credible/roussos_2024/variant_figures/roussos_2024.infant.GLU/rs7657567_count_position.png",4,220,900)</f>
        <v/>
      </c>
      <c r="T3188">
        <f>IMAGE("https://mitra.stanford.edu/kundaje/oak/projects/neuro-variants/variant_position/credible/roussos_2024/variant_figures/roussos_2024.infant.GLU/rs7657567_profile_position.png",4,220,900)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-0.0182220957</v>
      </c>
      <c r="G3189" t="n">
        <v>0.4759330585412656</v>
      </c>
      <c r="H3189" t="n">
        <v>0.0331923985565137</v>
      </c>
      <c r="I3189" t="n">
        <v>0.0408162270551939</v>
      </c>
      <c r="J3189" t="n">
        <v>0.0484225842721399</v>
      </c>
      <c r="K3189" t="n">
        <v>0.3551975181041344</v>
      </c>
      <c r="L3189" t="b">
        <v>0</v>
      </c>
      <c r="M3189" t="b">
        <v>0</v>
      </c>
      <c r="N3189" t="inlineStr">
        <is>
          <t>ref</t>
        </is>
      </c>
      <c r="O3189" t="n">
        <v>-55</v>
      </c>
      <c r="P3189" t="n">
        <v>0.05658</v>
      </c>
      <c r="Q3189" t="n">
        <v>-95</v>
      </c>
      <c r="R3189" t="n">
        <v>0.0547</v>
      </c>
      <c r="S3189">
        <f>IMAGE("https://mitra.stanford.edu/kundaje/oak/projects/neuro-variants/variant_position/credible/roussos_2024/variant_figures/roussos_2024.infant.GLU/rs13112591_count_position.png",4,220,900)</f>
        <v/>
      </c>
      <c r="T3189">
        <f>IMAGE("https://mitra.stanford.edu/kundaje/oak/projects/neuro-variants/variant_position/credible/roussos_2024/variant_figures/roussos_2024.infant.GLU/rs13112591_profile_position.png",4,220,900)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0.250771386</v>
      </c>
      <c r="G3190" t="n">
        <v>0.0054448010551416</v>
      </c>
      <c r="H3190" t="n">
        <v>0.04310957454547</v>
      </c>
      <c r="I3190" t="n">
        <v>0.0151094427683935</v>
      </c>
      <c r="J3190" t="n">
        <v>0.3844077250380299</v>
      </c>
      <c r="K3190" t="n">
        <v>0.0478515308989539</v>
      </c>
      <c r="L3190" t="b">
        <v>1</v>
      </c>
      <c r="M3190" t="b">
        <v>1</v>
      </c>
      <c r="N3190" t="inlineStr">
        <is>
          <t>alt</t>
        </is>
      </c>
      <c r="O3190" t="n">
        <v>100</v>
      </c>
      <c r="P3190" t="n">
        <v>0.00936</v>
      </c>
      <c r="Q3190" t="n">
        <v>-60</v>
      </c>
      <c r="R3190" t="n">
        <v>0.03516</v>
      </c>
      <c r="S3190">
        <f>IMAGE("https://mitra.stanford.edu/kundaje/oak/projects/neuro-variants/variant_position/credible/roussos_2024/variant_figures/roussos_2024.infant.GLU/rs4692712_count_position.png",4,220,900)</f>
        <v/>
      </c>
      <c r="T3190">
        <f>IMAGE("https://mitra.stanford.edu/kundaje/oak/projects/neuro-variants/variant_position/credible/roussos_2024/variant_figures/roussos_2024.infant.GLU/rs4692712_profile_position.png",4,220,900)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-0.161284268</v>
      </c>
      <c r="G3191" t="n">
        <v>0.0184613322397631</v>
      </c>
      <c r="H3191" t="n">
        <v>0.0279158811396808</v>
      </c>
      <c r="I3191" t="n">
        <v>0.0735716717839075</v>
      </c>
      <c r="J3191" t="n">
        <v>0.3326484269935404</v>
      </c>
      <c r="K3191" t="n">
        <v>0.0590672044124308</v>
      </c>
      <c r="L3191" t="b">
        <v>1</v>
      </c>
      <c r="M3191" t="b">
        <v>0</v>
      </c>
      <c r="N3191" t="inlineStr">
        <is>
          <t>ref</t>
        </is>
      </c>
      <c r="O3191" t="n">
        <v>-80</v>
      </c>
      <c r="P3191" t="n">
        <v>0.00624</v>
      </c>
      <c r="Q3191" t="n">
        <v>-15</v>
      </c>
      <c r="R3191" t="n">
        <v>0.05933</v>
      </c>
      <c r="S3191">
        <f>IMAGE("https://mitra.stanford.edu/kundaje/oak/projects/neuro-variants/variant_position/credible/roussos_2024/variant_figures/roussos_2024.infant.GLU/rs6839248_count_position.png",4,220,900)</f>
        <v/>
      </c>
      <c r="T3191">
        <f>IMAGE("https://mitra.stanford.edu/kundaje/oak/projects/neuro-variants/variant_position/credible/roussos_2024/variant_figures/roussos_2024.infant.GLU/rs6839248_profile_position.png",4,220,900)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0.017637924</v>
      </c>
      <c r="G3192" t="n">
        <v>0.4688102336573633</v>
      </c>
      <c r="H3192" t="n">
        <v>0.0516085936656291</v>
      </c>
      <c r="I3192" t="n">
        <v>0.0064685967421965</v>
      </c>
      <c r="J3192" t="n">
        <v>0.0052712802310455</v>
      </c>
      <c r="K3192" t="n">
        <v>0.7444609420244358</v>
      </c>
      <c r="L3192" t="b">
        <v>0</v>
      </c>
      <c r="M3192" t="b">
        <v>0</v>
      </c>
      <c r="N3192" t="inlineStr">
        <is>
          <t>alt</t>
        </is>
      </c>
      <c r="O3192" t="n">
        <v>45</v>
      </c>
      <c r="P3192" t="n">
        <v>0.00525</v>
      </c>
      <c r="Q3192" t="n">
        <v>100</v>
      </c>
      <c r="R3192" t="n">
        <v>0.0883</v>
      </c>
      <c r="S3192">
        <f>IMAGE("https://mitra.stanford.edu/kundaje/oak/projects/neuro-variants/variant_position/credible/roussos_2024/variant_figures/roussos_2024.infant.GLU/rs12641082_count_position.png",4,220,900)</f>
        <v/>
      </c>
      <c r="T3192">
        <f>IMAGE("https://mitra.stanford.edu/kundaje/oak/projects/neuro-variants/variant_position/credible/roussos_2024/variant_figures/roussos_2024.infant.GLU/rs12641082_profile_position.png",4,220,900)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-0.001096155918</v>
      </c>
      <c r="G3193" t="n">
        <v>0.8237980471081896</v>
      </c>
      <c r="H3193" t="n">
        <v>0.0142184569259782</v>
      </c>
      <c r="I3193" t="n">
        <v>0.4059232198220086</v>
      </c>
      <c r="J3193" t="n">
        <v>0.1530677484071518</v>
      </c>
      <c r="K3193" t="n">
        <v>0.1438974124201408</v>
      </c>
      <c r="L3193" t="b">
        <v>0</v>
      </c>
      <c r="M3193" t="b">
        <v>0</v>
      </c>
      <c r="N3193" t="inlineStr">
        <is>
          <t>ref</t>
        </is>
      </c>
      <c r="O3193" t="n">
        <v>-70</v>
      </c>
      <c r="P3193" t="n">
        <v>0.01227</v>
      </c>
      <c r="Q3193" t="n">
        <v>40</v>
      </c>
      <c r="R3193" t="n">
        <v>0.03992</v>
      </c>
      <c r="S3193">
        <f>IMAGE("https://mitra.stanford.edu/kundaje/oak/projects/neuro-variants/variant_position/credible/roussos_2024/variant_figures/roussos_2024.infant.GLU/rs12500131_count_position.png",4,220,900)</f>
        <v/>
      </c>
      <c r="T3193">
        <f>IMAGE("https://mitra.stanford.edu/kundaje/oak/projects/neuro-variants/variant_position/credible/roussos_2024/variant_figures/roussos_2024.infant.GLU/rs12500131_profile_position.png",4,220,900)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0.0251497472</v>
      </c>
      <c r="G3194" t="n">
        <v>0.3652406778284303</v>
      </c>
      <c r="H3194" t="n">
        <v>0.0388083566491907</v>
      </c>
      <c r="I3194" t="n">
        <v>0.0227932860986712</v>
      </c>
      <c r="J3194" t="n">
        <v>0.1584448510769637</v>
      </c>
      <c r="K3194" t="n">
        <v>0.1382617016347518</v>
      </c>
      <c r="L3194" t="b">
        <v>0</v>
      </c>
      <c r="M3194" t="b">
        <v>0</v>
      </c>
      <c r="N3194" t="inlineStr">
        <is>
          <t>alt</t>
        </is>
      </c>
      <c r="O3194" t="n">
        <v>-100</v>
      </c>
      <c r="P3194" t="n">
        <v>0.015015</v>
      </c>
      <c r="Q3194" t="n">
        <v>-10</v>
      </c>
      <c r="R3194" t="n">
        <v>0.02783</v>
      </c>
      <c r="S3194">
        <f>IMAGE("https://mitra.stanford.edu/kundaje/oak/projects/neuro-variants/variant_position/credible/roussos_2024/variant_figures/roussos_2024.infant.GLU/rs6553440_count_position.png",4,220,900)</f>
        <v/>
      </c>
      <c r="T3194">
        <f>IMAGE("https://mitra.stanford.edu/kundaje/oak/projects/neuro-variants/variant_position/credible/roussos_2024/variant_figures/roussos_2024.infant.GLU/rs6553440_profile_position.png",4,220,900)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-0.0155933016</v>
      </c>
      <c r="G3195" t="n">
        <v>0.5281234270704482</v>
      </c>
      <c r="H3195" t="n">
        <v>0.0334710636685226</v>
      </c>
      <c r="I3195" t="n">
        <v>0.042721971400981</v>
      </c>
      <c r="J3195" t="n">
        <v>0.1926034524570647</v>
      </c>
      <c r="K3195" t="n">
        <v>0.1144779471806988</v>
      </c>
      <c r="L3195" t="b">
        <v>0</v>
      </c>
      <c r="M3195" t="b">
        <v>0</v>
      </c>
      <c r="N3195" t="inlineStr">
        <is>
          <t>ref</t>
        </is>
      </c>
      <c r="O3195" t="n">
        <v>40</v>
      </c>
      <c r="P3195" t="n">
        <v>0.003296</v>
      </c>
      <c r="Q3195" t="n">
        <v>-5</v>
      </c>
      <c r="R3195" t="n">
        <v>0.01494</v>
      </c>
      <c r="S3195">
        <f>IMAGE("https://mitra.stanford.edu/kundaje/oak/projects/neuro-variants/variant_position/credible/roussos_2024/variant_figures/roussos_2024.infant.GLU/rs75394761_count_position.png",4,220,900)</f>
        <v/>
      </c>
      <c r="T3195">
        <f>IMAGE("https://mitra.stanford.edu/kundaje/oak/projects/neuro-variants/variant_position/credible/roussos_2024/variant_figures/roussos_2024.infant.GLU/rs75394761_profile_position.png",4,220,900)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0.00090087126</v>
      </c>
      <c r="G3196" t="n">
        <v>0.6715904791044417</v>
      </c>
      <c r="H3196" t="n">
        <v>0.009087277928467899</v>
      </c>
      <c r="I3196" t="n">
        <v>0.8259043547983719</v>
      </c>
      <c r="J3196" t="n">
        <v>0.0610507286315835</v>
      </c>
      <c r="K3196" t="n">
        <v>0.2981878293972617</v>
      </c>
      <c r="L3196" t="b">
        <v>0</v>
      </c>
      <c r="M3196" t="b">
        <v>0</v>
      </c>
      <c r="N3196" t="inlineStr">
        <is>
          <t>alt</t>
        </is>
      </c>
      <c r="O3196" t="n">
        <v>-55</v>
      </c>
      <c r="P3196" t="n">
        <v>0.01956</v>
      </c>
      <c r="Q3196" t="n">
        <v>30</v>
      </c>
      <c r="R3196" t="n">
        <v>0.10114</v>
      </c>
      <c r="S3196">
        <f>IMAGE("https://mitra.stanford.edu/kundaje/oak/projects/neuro-variants/variant_position/credible/roussos_2024/variant_figures/roussos_2024.infant.GLU/rs4235024_count_position.png",4,220,900)</f>
        <v/>
      </c>
      <c r="T3196">
        <f>IMAGE("https://mitra.stanford.edu/kundaje/oak/projects/neuro-variants/variant_position/credible/roussos_2024/variant_figures/roussos_2024.infant.GLU/rs4235024_profile_position.png",4,220,900)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-0.00527216752</v>
      </c>
      <c r="G3197" t="n">
        <v>0.7873990803303649</v>
      </c>
      <c r="H3197" t="n">
        <v>0.0080368759525103</v>
      </c>
      <c r="I3197" t="n">
        <v>0.8983709963534044</v>
      </c>
      <c r="J3197" t="n">
        <v>0.08798584624881491</v>
      </c>
      <c r="K3197" t="n">
        <v>0.2304441695354674</v>
      </c>
      <c r="L3197" t="b">
        <v>0</v>
      </c>
      <c r="M3197" t="b">
        <v>0</v>
      </c>
      <c r="N3197" t="inlineStr">
        <is>
          <t>ref</t>
        </is>
      </c>
      <c r="O3197" t="n">
        <v>40</v>
      </c>
      <c r="P3197" t="n">
        <v>0.005043</v>
      </c>
      <c r="Q3197" t="n">
        <v>-40</v>
      </c>
      <c r="R3197" t="n">
        <v>0.1057</v>
      </c>
      <c r="S3197">
        <f>IMAGE("https://mitra.stanford.edu/kundaje/oak/projects/neuro-variants/variant_position/credible/roussos_2024/variant_figures/roussos_2024.infant.GLU/rs4692574_count_position.png",4,220,900)</f>
        <v/>
      </c>
      <c r="T3197">
        <f>IMAGE("https://mitra.stanford.edu/kundaje/oak/projects/neuro-variants/variant_position/credible/roussos_2024/variant_figures/roussos_2024.infant.GLU/rs4692574_profile_position.png",4,220,900)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0.0603270762</v>
      </c>
      <c r="G3198" t="n">
        <v>0.1810820396549748</v>
      </c>
      <c r="H3198" t="n">
        <v>0.0254068446632372</v>
      </c>
      <c r="I3198" t="n">
        <v>0.099342737626561</v>
      </c>
      <c r="J3198" t="n">
        <v>0.1376595603959522</v>
      </c>
      <c r="K3198" t="n">
        <v>0.1679804868075363</v>
      </c>
      <c r="L3198" t="b">
        <v>0</v>
      </c>
      <c r="M3198" t="b">
        <v>0</v>
      </c>
      <c r="N3198" t="inlineStr">
        <is>
          <t>alt</t>
        </is>
      </c>
      <c r="O3198" t="n">
        <v>70</v>
      </c>
      <c r="P3198" t="n">
        <v>0.001709</v>
      </c>
      <c r="Q3198" t="n">
        <v>70</v>
      </c>
      <c r="R3198" t="n">
        <v>0.0329</v>
      </c>
      <c r="S3198">
        <f>IMAGE("https://mitra.stanford.edu/kundaje/oak/projects/neuro-variants/variant_position/credible/roussos_2024/variant_figures/roussos_2024.infant.GLU/rs115477840_count_position.png",4,220,900)</f>
        <v/>
      </c>
      <c r="T3198">
        <f>IMAGE("https://mitra.stanford.edu/kundaje/oak/projects/neuro-variants/variant_position/credible/roussos_2024/variant_figures/roussos_2024.infant.GLU/rs115477840_profile_position.png",4,220,900)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0.01142003638</v>
      </c>
      <c r="G3199" t="n">
        <v>0.6091605857978953</v>
      </c>
      <c r="H3199" t="n">
        <v>0.0293240293550926</v>
      </c>
      <c r="I3199" t="n">
        <v>0.0619896192007423</v>
      </c>
      <c r="J3199" t="n">
        <v>0.0048347626711346</v>
      </c>
      <c r="K3199" t="n">
        <v>0.7546657247331178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0.01396</v>
      </c>
      <c r="Q3199" t="n">
        <v>20</v>
      </c>
      <c r="R3199" t="n">
        <v>0.01624</v>
      </c>
      <c r="S3199">
        <f>IMAGE("https://mitra.stanford.edu/kundaje/oak/projects/neuro-variants/variant_position/credible/roussos_2024/variant_figures/roussos_2024.infant.GLU/rs6823311_count_position.png",4,220,900)</f>
        <v/>
      </c>
      <c r="T3199">
        <f>IMAGE("https://mitra.stanford.edu/kundaje/oak/projects/neuro-variants/variant_position/credible/roussos_2024/variant_figures/roussos_2024.infant.GLU/rs6823311_profile_position.png",4,220,900)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-0.095681505</v>
      </c>
      <c r="G3200" t="n">
        <v>0.0541417641375189</v>
      </c>
      <c r="H3200" t="n">
        <v>0.0137159016140154</v>
      </c>
      <c r="I3200" t="n">
        <v>0.4344285396173702</v>
      </c>
      <c r="J3200" t="n">
        <v>0.0758702793271456</v>
      </c>
      <c r="K3200" t="n">
        <v>0.2614861370406048</v>
      </c>
      <c r="L3200" t="b">
        <v>0</v>
      </c>
      <c r="M3200" t="b">
        <v>0</v>
      </c>
      <c r="N3200" t="inlineStr">
        <is>
          <t>ref</t>
        </is>
      </c>
      <c r="O3200" t="n">
        <v>100</v>
      </c>
      <c r="P3200" t="n">
        <v>0.002823</v>
      </c>
      <c r="Q3200" t="n">
        <v>-90</v>
      </c>
      <c r="R3200" t="n">
        <v>0.047</v>
      </c>
      <c r="S3200">
        <f>IMAGE("https://mitra.stanford.edu/kundaje/oak/projects/neuro-variants/variant_position/credible/roussos_2024/variant_figures/roussos_2024.infant.GLU/rs6850446_count_position.png",4,220,900)</f>
        <v/>
      </c>
      <c r="T3200">
        <f>IMAGE("https://mitra.stanford.edu/kundaje/oak/projects/neuro-variants/variant_position/credible/roussos_2024/variant_figures/roussos_2024.infant.GLU/rs6850446_profile_position.png",4,220,900)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0.0439491407999999</v>
      </c>
      <c r="G3201" t="n">
        <v>0.1960365664001817</v>
      </c>
      <c r="H3201" t="n">
        <v>0.0405547625358044</v>
      </c>
      <c r="I3201" t="n">
        <v>0.0191220005811778</v>
      </c>
      <c r="J3201" t="n">
        <v>0.0175588086157101</v>
      </c>
      <c r="K3201" t="n">
        <v>0.5717491788588825</v>
      </c>
      <c r="L3201" t="b">
        <v>1</v>
      </c>
      <c r="M3201" t="b">
        <v>0</v>
      </c>
      <c r="N3201" t="inlineStr">
        <is>
          <t>alt</t>
        </is>
      </c>
      <c r="O3201" t="n">
        <v>45</v>
      </c>
      <c r="P3201" t="n">
        <v>0.00482</v>
      </c>
      <c r="Q3201" t="n">
        <v>45</v>
      </c>
      <c r="R3201" t="n">
        <v>0.0847</v>
      </c>
      <c r="S3201">
        <f>IMAGE("https://mitra.stanford.edu/kundaje/oak/projects/neuro-variants/variant_position/credible/roussos_2024/variant_figures/roussos_2024.infant.GLU/rs1027407_count_position.png",4,220,900)</f>
        <v/>
      </c>
      <c r="T3201">
        <f>IMAGE("https://mitra.stanford.edu/kundaje/oak/projects/neuro-variants/variant_position/credible/roussos_2024/variant_figures/roussos_2024.infant.GLU/rs1027407_profile_position.png",4,220,900)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0.011796595288</v>
      </c>
      <c r="G3202" t="n">
        <v>0.5955248745176177</v>
      </c>
      <c r="H3202" t="n">
        <v>0.0359817593167866</v>
      </c>
      <c r="I3202" t="n">
        <v>0.0306241253308641</v>
      </c>
      <c r="J3202" t="n">
        <v>0.0393119336846049</v>
      </c>
      <c r="K3202" t="n">
        <v>0.389440905308434</v>
      </c>
      <c r="L3202" t="b">
        <v>0</v>
      </c>
      <c r="M3202" t="b">
        <v>0</v>
      </c>
      <c r="N3202" t="inlineStr">
        <is>
          <t>alt</t>
        </is>
      </c>
      <c r="O3202" t="n">
        <v>-100</v>
      </c>
      <c r="P3202" t="n">
        <v>0.01324</v>
      </c>
      <c r="Q3202" t="n">
        <v>-100</v>
      </c>
      <c r="R3202" t="n">
        <v>0.0335</v>
      </c>
      <c r="S3202">
        <f>IMAGE("https://mitra.stanford.edu/kundaje/oak/projects/neuro-variants/variant_position/credible/roussos_2024/variant_figures/roussos_2024.infant.GLU/rs28376387_count_position.png",4,220,900)</f>
        <v/>
      </c>
      <c r="T3202">
        <f>IMAGE("https://mitra.stanford.edu/kundaje/oak/projects/neuro-variants/variant_position/credible/roussos_2024/variant_figures/roussos_2024.infant.GLU/rs28376387_profile_position.png",4,220,900)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0.00067035266</v>
      </c>
      <c r="G3203" t="n">
        <v>0.8263315036232731</v>
      </c>
      <c r="H3203" t="n">
        <v>0.0070656659650422</v>
      </c>
      <c r="I3203" t="n">
        <v>0.9584650775946624</v>
      </c>
      <c r="J3203" t="n">
        <v>0.2878678983222734</v>
      </c>
      <c r="K3203" t="n">
        <v>0.0718977971306384</v>
      </c>
      <c r="L3203" t="b">
        <v>0</v>
      </c>
      <c r="M3203" t="b">
        <v>0</v>
      </c>
      <c r="N3203" t="inlineStr">
        <is>
          <t>alt</t>
        </is>
      </c>
      <c r="O3203" t="n">
        <v>-95</v>
      </c>
      <c r="P3203" t="n">
        <v>0.0498</v>
      </c>
      <c r="Q3203" t="n">
        <v>-100</v>
      </c>
      <c r="R3203" t="n">
        <v>0.0786</v>
      </c>
      <c r="S3203">
        <f>IMAGE("https://mitra.stanford.edu/kundaje/oak/projects/neuro-variants/variant_position/credible/roussos_2024/variant_figures/roussos_2024.infant.GLU/rs17062106_count_position.png",4,220,900)</f>
        <v/>
      </c>
      <c r="T3203">
        <f>IMAGE("https://mitra.stanford.edu/kundaje/oak/projects/neuro-variants/variant_position/credible/roussos_2024/variant_figures/roussos_2024.infant.GLU/rs17062106_profile_position.png",4,220,900)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-0.1090101397999999</v>
      </c>
      <c r="G3204" t="n">
        <v>0.047433941168378</v>
      </c>
      <c r="H3204" t="n">
        <v>0.0261727189458667</v>
      </c>
      <c r="I3204" t="n">
        <v>0.09008538018316239</v>
      </c>
      <c r="J3204" t="n">
        <v>0.0469653211049626</v>
      </c>
      <c r="K3204" t="n">
        <v>0.3577880064911221</v>
      </c>
      <c r="L3204" t="b">
        <v>0</v>
      </c>
      <c r="M3204" t="b">
        <v>0</v>
      </c>
      <c r="N3204" t="inlineStr">
        <is>
          <t>ref</t>
        </is>
      </c>
      <c r="O3204" t="n">
        <v>65</v>
      </c>
      <c r="P3204" t="n">
        <v>0.05862</v>
      </c>
      <c r="Q3204" t="n">
        <v>60</v>
      </c>
      <c r="R3204" t="n">
        <v>0.08215</v>
      </c>
      <c r="S3204">
        <f>IMAGE("https://mitra.stanford.edu/kundaje/oak/projects/neuro-variants/variant_position/credible/roussos_2024/variant_figures/roussos_2024.infant.GLU/rs62334820_count_position.png",4,220,900)</f>
        <v/>
      </c>
      <c r="T3204">
        <f>IMAGE("https://mitra.stanford.edu/kundaje/oak/projects/neuro-variants/variant_position/credible/roussos_2024/variant_figures/roussos_2024.infant.GLU/rs62334820_profile_position.png",4,220,900)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0.238330118</v>
      </c>
      <c r="G3205" t="n">
        <v>0.0071322555204818</v>
      </c>
      <c r="H3205" t="n">
        <v>0.0290907346778453</v>
      </c>
      <c r="I3205" t="n">
        <v>0.06558204398788441</v>
      </c>
      <c r="J3205" t="n">
        <v>0.026616547983862</v>
      </c>
      <c r="K3205" t="n">
        <v>0.4869104706932163</v>
      </c>
      <c r="L3205" t="b">
        <v>1</v>
      </c>
      <c r="M3205" t="b">
        <v>1</v>
      </c>
      <c r="N3205" t="inlineStr">
        <is>
          <t>alt</t>
        </is>
      </c>
      <c r="O3205" t="n">
        <v>100</v>
      </c>
      <c r="P3205" t="n">
        <v>0.0221</v>
      </c>
      <c r="Q3205" t="n">
        <v>15</v>
      </c>
      <c r="R3205" t="n">
        <v>0.007446</v>
      </c>
      <c r="S3205">
        <f>IMAGE("https://mitra.stanford.edu/kundaje/oak/projects/neuro-variants/variant_position/credible/roussos_2024/variant_figures/roussos_2024.infant.GLU/rs12501338_count_position.png",4,220,900)</f>
        <v/>
      </c>
      <c r="T3205">
        <f>IMAGE("https://mitra.stanford.edu/kundaje/oak/projects/neuro-variants/variant_position/credible/roussos_2024/variant_figures/roussos_2024.infant.GLU/rs12501338_profile_position.png",4,220,900)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0.0203536046</v>
      </c>
      <c r="G3206" t="n">
        <v>0.429830014958598</v>
      </c>
      <c r="H3206" t="n">
        <v>0.0413286262089295</v>
      </c>
      <c r="I3206" t="n">
        <v>0.0176971048727284</v>
      </c>
      <c r="J3206" t="n">
        <v>0.0035196984060494</v>
      </c>
      <c r="K3206" t="n">
        <v>0.7937585167377579</v>
      </c>
      <c r="L3206" t="b">
        <v>0</v>
      </c>
      <c r="M3206" t="b">
        <v>0</v>
      </c>
      <c r="N3206" t="inlineStr">
        <is>
          <t>alt</t>
        </is>
      </c>
      <c r="O3206" t="n">
        <v>60</v>
      </c>
      <c r="P3206" t="n">
        <v>0.063</v>
      </c>
      <c r="Q3206" t="n">
        <v>50</v>
      </c>
      <c r="R3206" t="n">
        <v>0.03882</v>
      </c>
      <c r="S3206">
        <f>IMAGE("https://mitra.stanford.edu/kundaje/oak/projects/neuro-variants/variant_position/credible/roussos_2024/variant_figures/roussos_2024.infant.GLU/rs55875929_count_position.png",4,220,900)</f>
        <v/>
      </c>
      <c r="T3206">
        <f>IMAGE("https://mitra.stanford.edu/kundaje/oak/projects/neuro-variants/variant_position/credible/roussos_2024/variant_figures/roussos_2024.infant.GLU/rs55875929_profile_position.png",4,220,900)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-0.0269055744</v>
      </c>
      <c r="G3207" t="n">
        <v>0.2603568215933307</v>
      </c>
      <c r="H3207" t="n">
        <v>0.0130515922348382</v>
      </c>
      <c r="I3207" t="n">
        <v>0.4830713961853372</v>
      </c>
      <c r="J3207" t="n">
        <v>0.0019301571904141</v>
      </c>
      <c r="K3207" t="n">
        <v>0.8407636084889262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0.05646</v>
      </c>
      <c r="Q3207" t="n">
        <v>-65</v>
      </c>
      <c r="R3207" t="n">
        <v>0.04077</v>
      </c>
      <c r="S3207">
        <f>IMAGE("https://mitra.stanford.edu/kundaje/oak/projects/neuro-variants/variant_position/credible/roussos_2024/variant_figures/roussos_2024.infant.GLU/rs55903810_count_position.png",4,220,900)</f>
        <v/>
      </c>
      <c r="T3207">
        <f>IMAGE("https://mitra.stanford.edu/kundaje/oak/projects/neuro-variants/variant_position/credible/roussos_2024/variant_figures/roussos_2024.infant.GLU/rs55903810_profile_position.png",4,220,900)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0.0494131128</v>
      </c>
      <c r="G3208" t="n">
        <v>0.164561299812737</v>
      </c>
      <c r="H3208" t="n">
        <v>0.0139638734870565</v>
      </c>
      <c r="I3208" t="n">
        <v>0.4182987694275701</v>
      </c>
      <c r="J3208" t="n">
        <v>0.0254006922551202</v>
      </c>
      <c r="K3208" t="n">
        <v>0.4914067487097471</v>
      </c>
      <c r="L3208" t="b">
        <v>0</v>
      </c>
      <c r="M3208" t="b">
        <v>0</v>
      </c>
      <c r="N3208" t="inlineStr">
        <is>
          <t>alt</t>
        </is>
      </c>
      <c r="O3208" t="n">
        <v>-100</v>
      </c>
      <c r="P3208" t="n">
        <v>0.010956</v>
      </c>
      <c r="Q3208" t="n">
        <v>-50</v>
      </c>
      <c r="R3208" t="n">
        <v>0.1257</v>
      </c>
      <c r="S3208">
        <f>IMAGE("https://mitra.stanford.edu/kundaje/oak/projects/neuro-variants/variant_position/credible/roussos_2024/variant_figures/roussos_2024.infant.GLU/rs17324506_count_position.png",4,220,900)</f>
        <v/>
      </c>
      <c r="T3208">
        <f>IMAGE("https://mitra.stanford.edu/kundaje/oak/projects/neuro-variants/variant_position/credible/roussos_2024/variant_figures/roussos_2024.infant.GLU/rs17324506_profile_position.png",4,220,900)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0.067984577</v>
      </c>
      <c r="G3209" t="n">
        <v>0.1026176556188789</v>
      </c>
      <c r="H3209" t="n">
        <v>0.012516494111036</v>
      </c>
      <c r="I3209" t="n">
        <v>0.5162436072533451</v>
      </c>
      <c r="J3209" t="n">
        <v>0.145363654401552</v>
      </c>
      <c r="K3209" t="n">
        <v>0.1490434629129487</v>
      </c>
      <c r="L3209" t="b">
        <v>0</v>
      </c>
      <c r="M3209" t="b">
        <v>0</v>
      </c>
      <c r="N3209" t="inlineStr">
        <is>
          <t>alt</t>
        </is>
      </c>
      <c r="O3209" t="n">
        <v>100</v>
      </c>
      <c r="P3209" t="n">
        <v>0.0323</v>
      </c>
      <c r="Q3209" t="n">
        <v>-25</v>
      </c>
      <c r="R3209" t="n">
        <v>0.06809999999999999</v>
      </c>
      <c r="S3209">
        <f>IMAGE("https://mitra.stanford.edu/kundaje/oak/projects/neuro-variants/variant_position/credible/roussos_2024/variant_figures/roussos_2024.infant.GLU/rs28753071_count_position.png",4,220,900)</f>
        <v/>
      </c>
      <c r="T3209">
        <f>IMAGE("https://mitra.stanford.edu/kundaje/oak/projects/neuro-variants/variant_position/credible/roussos_2024/variant_figures/roussos_2024.infant.GLU/rs28753071_profile_position.png",4,220,900)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-0.00669763014</v>
      </c>
      <c r="G3210" t="n">
        <v>0.6714692515866501</v>
      </c>
      <c r="H3210" t="n">
        <v>0.0161412562031995</v>
      </c>
      <c r="I3210" t="n">
        <v>0.3067180943280932</v>
      </c>
      <c r="J3210" t="n">
        <v>0.0093300116845609</v>
      </c>
      <c r="K3210" t="n">
        <v>0.6837953348792494</v>
      </c>
      <c r="L3210" t="b">
        <v>0</v>
      </c>
      <c r="M3210" t="b">
        <v>0</v>
      </c>
      <c r="N3210" t="inlineStr">
        <is>
          <t>ref</t>
        </is>
      </c>
      <c r="O3210" t="n">
        <v>-100</v>
      </c>
      <c r="P3210" t="n">
        <v>0.01113</v>
      </c>
      <c r="Q3210" t="n">
        <v>-60</v>
      </c>
      <c r="R3210" t="n">
        <v>0.02435</v>
      </c>
      <c r="S3210">
        <f>IMAGE("https://mitra.stanford.edu/kundaje/oak/projects/neuro-variants/variant_position/credible/roussos_2024/variant_figures/roussos_2024.infant.GLU/rs7694547_count_position.png",4,220,900)</f>
        <v/>
      </c>
      <c r="T3210">
        <f>IMAGE("https://mitra.stanford.edu/kundaje/oak/projects/neuro-variants/variant_position/credible/roussos_2024/variant_figures/roussos_2024.infant.GLU/rs7694547_profile_position.png",4,220,900)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-0.177742932</v>
      </c>
      <c r="G3211" t="n">
        <v>0.0139364905981553</v>
      </c>
      <c r="H3211" t="n">
        <v>0.0524321595782587</v>
      </c>
      <c r="I3211" t="n">
        <v>0.0062382055546703</v>
      </c>
      <c r="J3211" t="n">
        <v>0.06714984898256129</v>
      </c>
      <c r="K3211" t="n">
        <v>0.2792497632695558</v>
      </c>
      <c r="L3211" t="b">
        <v>1</v>
      </c>
      <c r="M3211" t="b">
        <v>1</v>
      </c>
      <c r="N3211" t="inlineStr">
        <is>
          <t>ref</t>
        </is>
      </c>
      <c r="O3211" t="n">
        <v>70</v>
      </c>
      <c r="P3211" t="n">
        <v>0.02283</v>
      </c>
      <c r="Q3211" t="n">
        <v>60</v>
      </c>
      <c r="R3211" t="n">
        <v>0.1351</v>
      </c>
      <c r="S3211">
        <f>IMAGE("https://mitra.stanford.edu/kundaje/oak/projects/neuro-variants/variant_position/credible/roussos_2024/variant_figures/roussos_2024.infant.GLU/rs12501438_count_position.png",4,220,900)</f>
        <v/>
      </c>
      <c r="T3211">
        <f>IMAGE("https://mitra.stanford.edu/kundaje/oak/projects/neuro-variants/variant_position/credible/roussos_2024/variant_figures/roussos_2024.infant.GLU/rs12501438_profile_position.png",4,220,900)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-0.0009540477799999</v>
      </c>
      <c r="G3212" t="n">
        <v>0.7576376958301241</v>
      </c>
      <c r="H3212" t="n">
        <v>0.009184347634294999</v>
      </c>
      <c r="I3212" t="n">
        <v>0.8074547586368558</v>
      </c>
      <c r="J3212" t="n">
        <v>0.1483222734187261</v>
      </c>
      <c r="K3212" t="n">
        <v>0.1511097140870173</v>
      </c>
      <c r="L3212" t="b">
        <v>0</v>
      </c>
      <c r="M3212" t="b">
        <v>0</v>
      </c>
      <c r="N3212" t="inlineStr">
        <is>
          <t>ref</t>
        </is>
      </c>
      <c r="O3212" t="n">
        <v>-30</v>
      </c>
      <c r="P3212" t="n">
        <v>0.02293</v>
      </c>
      <c r="Q3212" t="n">
        <v>100</v>
      </c>
      <c r="R3212" t="n">
        <v>0.07870000000000001</v>
      </c>
      <c r="S3212">
        <f>IMAGE("https://mitra.stanford.edu/kundaje/oak/projects/neuro-variants/variant_position/credible/roussos_2024/variant_figures/roussos_2024.infant.GLU/rs35751669_count_position.png",4,220,900)</f>
        <v/>
      </c>
      <c r="T3212">
        <f>IMAGE("https://mitra.stanford.edu/kundaje/oak/projects/neuro-variants/variant_position/credible/roussos_2024/variant_figures/roussos_2024.infant.GLU/rs35751669_profile_position.png",4,220,900)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0.0457473896</v>
      </c>
      <c r="G3213" t="n">
        <v>0.1826132650267999</v>
      </c>
      <c r="H3213" t="n">
        <v>0.0139343359007933</v>
      </c>
      <c r="I3213" t="n">
        <v>0.4204025682034777</v>
      </c>
      <c r="J3213" t="n">
        <v>0.1297890165127097</v>
      </c>
      <c r="K3213" t="n">
        <v>0.1820423371258693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0.001595</v>
      </c>
      <c r="Q3213" t="n">
        <v>-95</v>
      </c>
      <c r="R3213" t="n">
        <v>0.04114</v>
      </c>
      <c r="S3213">
        <f>IMAGE("https://mitra.stanford.edu/kundaje/oak/projects/neuro-variants/variant_position/credible/roussos_2024/variant_figures/roussos_2024.infant.GLU/rs10462767_count_position.png",4,220,900)</f>
        <v/>
      </c>
      <c r="T3213">
        <f>IMAGE("https://mitra.stanford.edu/kundaje/oak/projects/neuro-variants/variant_position/credible/roussos_2024/variant_figures/roussos_2024.infant.GLU/rs10462767_profile_position.png",4,220,900)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-0.00148713448</v>
      </c>
      <c r="G3214" t="n">
        <v>0.6087450056618366</v>
      </c>
      <c r="H3214" t="n">
        <v>0.0179519544203992</v>
      </c>
      <c r="I3214" t="n">
        <v>0.2774711554354302</v>
      </c>
      <c r="J3214" t="n">
        <v>0.0855199629621464</v>
      </c>
      <c r="K3214" t="n">
        <v>0.2541701876635079</v>
      </c>
      <c r="L3214" t="b">
        <v>0</v>
      </c>
      <c r="M3214" t="b">
        <v>0</v>
      </c>
      <c r="N3214" t="inlineStr">
        <is>
          <t>ref</t>
        </is>
      </c>
      <c r="O3214" t="n">
        <v>-75</v>
      </c>
      <c r="P3214" t="n">
        <v>0.03998</v>
      </c>
      <c r="Q3214" t="n">
        <v>-85</v>
      </c>
      <c r="R3214" t="n">
        <v>0.279</v>
      </c>
      <c r="S3214">
        <f>IMAGE("https://mitra.stanford.edu/kundaje/oak/projects/neuro-variants/variant_position/credible/roussos_2024/variant_figures/roussos_2024.infant.GLU/rs13170639_count_position.png",4,220,900)</f>
        <v/>
      </c>
      <c r="T3214">
        <f>IMAGE("https://mitra.stanford.edu/kundaje/oak/projects/neuro-variants/variant_position/credible/roussos_2024/variant_figures/roussos_2024.infant.GLU/rs13170639_profile_position.png",4,220,900)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-0.0269132018</v>
      </c>
      <c r="G3215" t="n">
        <v>0.3567888826259631</v>
      </c>
      <c r="H3215" t="n">
        <v>0.0105672358148783</v>
      </c>
      <c r="I3215" t="n">
        <v>0.679917701028159</v>
      </c>
      <c r="J3215" t="n">
        <v>0.1843570184527877</v>
      </c>
      <c r="K3215" t="n">
        <v>0.1177891266250419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0.11584</v>
      </c>
      <c r="Q3215" t="n">
        <v>-100</v>
      </c>
      <c r="R3215" t="n">
        <v>0.1945</v>
      </c>
      <c r="S3215">
        <f>IMAGE("https://mitra.stanford.edu/kundaje/oak/projects/neuro-variants/variant_position/credible/roussos_2024/variant_figures/roussos_2024.infant.GLU/rs35533030_count_position.png",4,220,900)</f>
        <v/>
      </c>
      <c r="T3215">
        <f>IMAGE("https://mitra.stanford.edu/kundaje/oak/projects/neuro-variants/variant_position/credible/roussos_2024/variant_figures/roussos_2024.infant.GLU/rs35533030_profile_position.png",4,220,900)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0.0238990282</v>
      </c>
      <c r="G3216" t="n">
        <v>0.4040573834596014</v>
      </c>
      <c r="H3216" t="n">
        <v>0.0133830400328449</v>
      </c>
      <c r="I3216" t="n">
        <v>0.458441938605701</v>
      </c>
      <c r="J3216" t="n">
        <v>0.0416565620935205</v>
      </c>
      <c r="K3216" t="n">
        <v>0.3763252135771908</v>
      </c>
      <c r="L3216" t="b">
        <v>0</v>
      </c>
      <c r="M3216" t="b">
        <v>0</v>
      </c>
      <c r="N3216" t="inlineStr">
        <is>
          <t>alt</t>
        </is>
      </c>
      <c r="O3216" t="n">
        <v>100</v>
      </c>
      <c r="P3216" t="n">
        <v>0.2883</v>
      </c>
      <c r="Q3216" t="n">
        <v>-100</v>
      </c>
      <c r="R3216" t="n">
        <v>0.05957</v>
      </c>
      <c r="S3216">
        <f>IMAGE("https://mitra.stanford.edu/kundaje/oak/projects/neuro-variants/variant_position/credible/roussos_2024/variant_figures/roussos_2024.infant.GLU/rs6885115_count_position.png",4,220,900)</f>
        <v/>
      </c>
      <c r="T3216">
        <f>IMAGE("https://mitra.stanford.edu/kundaje/oak/projects/neuro-variants/variant_position/credible/roussos_2024/variant_figures/roussos_2024.infant.GLU/rs6885115_profile_position.png",4,220,900)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-0.0647620012</v>
      </c>
      <c r="G3217" t="n">
        <v>0.1187489889542235</v>
      </c>
      <c r="H3217" t="n">
        <v>0.0149513684491335</v>
      </c>
      <c r="I3217" t="n">
        <v>0.3654994511636473</v>
      </c>
      <c r="J3217" t="n">
        <v>0.2595548843669393</v>
      </c>
      <c r="K3217" t="n">
        <v>0.081223230075353</v>
      </c>
      <c r="L3217" t="b">
        <v>0</v>
      </c>
      <c r="M3217" t="b">
        <v>0</v>
      </c>
      <c r="N3217" t="inlineStr">
        <is>
          <t>ref</t>
        </is>
      </c>
      <c r="O3217" t="n">
        <v>-75</v>
      </c>
      <c r="P3217" t="n">
        <v>0.03088</v>
      </c>
      <c r="Q3217" t="n">
        <v>-30</v>
      </c>
      <c r="R3217" t="n">
        <v>0.06569999999999999</v>
      </c>
      <c r="S3217">
        <f>IMAGE("https://mitra.stanford.edu/kundaje/oak/projects/neuro-variants/variant_position/credible/roussos_2024/variant_figures/roussos_2024.infant.GLU/rs12514566_count_position.png",4,220,900)</f>
        <v/>
      </c>
      <c r="T3217">
        <f>IMAGE("https://mitra.stanford.edu/kundaje/oak/projects/neuro-variants/variant_position/credible/roussos_2024/variant_figures/roussos_2024.infant.GLU/rs12514566_profile_position.png",4,220,900)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-0.06802448680000001</v>
      </c>
      <c r="G3218" t="n">
        <v>0.1052483674600791</v>
      </c>
      <c r="H3218" t="n">
        <v>0.0126782163724871</v>
      </c>
      <c r="I3218" t="n">
        <v>0.5074267799005892</v>
      </c>
      <c r="J3218" t="n">
        <v>0.00310963645583</v>
      </c>
      <c r="K3218" t="n">
        <v>0.8201418606183837</v>
      </c>
      <c r="L3218" t="b">
        <v>0</v>
      </c>
      <c r="M3218" t="b">
        <v>0</v>
      </c>
      <c r="N3218" t="inlineStr">
        <is>
          <t>ref</t>
        </is>
      </c>
      <c r="O3218" t="n">
        <v>-100</v>
      </c>
      <c r="P3218" t="n">
        <v>0.01595</v>
      </c>
      <c r="Q3218" t="n">
        <v>-100</v>
      </c>
      <c r="R3218" t="n">
        <v>0.01013</v>
      </c>
      <c r="S3218">
        <f>IMAGE("https://mitra.stanford.edu/kundaje/oak/projects/neuro-variants/variant_position/credible/roussos_2024/variant_figures/roussos_2024.infant.GLU/rs2680786_count_position.png",4,220,900)</f>
        <v/>
      </c>
      <c r="T3218">
        <f>IMAGE("https://mitra.stanford.edu/kundaje/oak/projects/neuro-variants/variant_position/credible/roussos_2024/variant_figures/roussos_2024.infant.GLU/rs2680786_profile_position.png",4,220,900)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0.161467942</v>
      </c>
      <c r="G3219" t="n">
        <v>0.0183265529419256</v>
      </c>
      <c r="H3219" t="n">
        <v>0.0464795394038041</v>
      </c>
      <c r="I3219" t="n">
        <v>0.0107392347566816</v>
      </c>
      <c r="J3219" t="n">
        <v>0.6004960426817171</v>
      </c>
      <c r="K3219" t="n">
        <v>0.0211214552445175</v>
      </c>
      <c r="L3219" t="b">
        <v>1</v>
      </c>
      <c r="M3219" t="b">
        <v>0</v>
      </c>
      <c r="N3219" t="inlineStr">
        <is>
          <t>alt</t>
        </is>
      </c>
      <c r="O3219" t="n">
        <v>100</v>
      </c>
      <c r="P3219" t="n">
        <v>0.021</v>
      </c>
      <c r="Q3219" t="n">
        <v>50</v>
      </c>
      <c r="R3219" t="n">
        <v>0.02258</v>
      </c>
      <c r="S3219">
        <f>IMAGE("https://mitra.stanford.edu/kundaje/oak/projects/neuro-variants/variant_position/credible/roussos_2024/variant_figures/roussos_2024.infant.GLU/rs2680790_count_position.png",4,220,900)</f>
        <v/>
      </c>
      <c r="T3219">
        <f>IMAGE("https://mitra.stanford.edu/kundaje/oak/projects/neuro-variants/variant_position/credible/roussos_2024/variant_figures/roussos_2024.infant.GLU/rs2680790_profile_position.png",4,220,900)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-0.037877107</v>
      </c>
      <c r="G3220" t="n">
        <v>0.2481821528043288</v>
      </c>
      <c r="H3220" t="n">
        <v>0.0321194050797343</v>
      </c>
      <c r="I3220" t="n">
        <v>0.0458459899454136</v>
      </c>
      <c r="J3220" t="n">
        <v>0.2909058841685222</v>
      </c>
      <c r="K3220" t="n">
        <v>0.07088685595082959</v>
      </c>
      <c r="L3220" t="b">
        <v>0</v>
      </c>
      <c r="M3220" t="b">
        <v>0</v>
      </c>
      <c r="N3220" t="inlineStr">
        <is>
          <t>ref</t>
        </is>
      </c>
      <c r="O3220" t="n">
        <v>100</v>
      </c>
      <c r="P3220" t="n">
        <v>0.02202</v>
      </c>
      <c r="Q3220" t="n">
        <v>25</v>
      </c>
      <c r="R3220" t="n">
        <v>0.083</v>
      </c>
      <c r="S3220">
        <f>IMAGE("https://mitra.stanford.edu/kundaje/oak/projects/neuro-variants/variant_position/credible/roussos_2024/variant_figures/roussos_2024.infant.GLU/rs2635639_count_position.png",4,220,900)</f>
        <v/>
      </c>
      <c r="T3220">
        <f>IMAGE("https://mitra.stanford.edu/kundaje/oak/projects/neuro-variants/variant_position/credible/roussos_2024/variant_figures/roussos_2024.infant.GLU/rs2635639_profile_position.png",4,220,900)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0.00459167708</v>
      </c>
      <c r="G3221" t="n">
        <v>0.3765789303369659</v>
      </c>
      <c r="H3221" t="n">
        <v>0.0106824047668225</v>
      </c>
      <c r="I3221" t="n">
        <v>0.6722403416932702</v>
      </c>
      <c r="J3221" t="n">
        <v>0.3052911219383143</v>
      </c>
      <c r="K3221" t="n">
        <v>0.0667887065720475</v>
      </c>
      <c r="L3221" t="b">
        <v>0</v>
      </c>
      <c r="M3221" t="b">
        <v>0</v>
      </c>
      <c r="N3221" t="inlineStr">
        <is>
          <t>alt</t>
        </is>
      </c>
      <c r="O3221" t="n">
        <v>50</v>
      </c>
      <c r="P3221" t="n">
        <v>0.008606000000000001</v>
      </c>
      <c r="Q3221" t="n">
        <v>100</v>
      </c>
      <c r="R3221" t="n">
        <v>0.0564</v>
      </c>
      <c r="S3221">
        <f>IMAGE("https://mitra.stanford.edu/kundaje/oak/projects/neuro-variants/variant_position/credible/roussos_2024/variant_figures/roussos_2024.infant.GLU/rs2680799_count_position.png",4,220,900)</f>
        <v/>
      </c>
      <c r="T3221">
        <f>IMAGE("https://mitra.stanford.edu/kundaje/oak/projects/neuro-variants/variant_position/credible/roussos_2024/variant_figures/roussos_2024.infant.GLU/rs2680799_profile_position.png",4,220,900)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-0.0971216068</v>
      </c>
      <c r="G3222" t="n">
        <v>0.061165494068208</v>
      </c>
      <c r="H3222" t="n">
        <v>0.0208701407866945</v>
      </c>
      <c r="I3222" t="n">
        <v>0.1650907949647209</v>
      </c>
      <c r="J3222" t="n">
        <v>0.2980477964681761</v>
      </c>
      <c r="K3222" t="n">
        <v>0.0688865224034281</v>
      </c>
      <c r="L3222" t="b">
        <v>0</v>
      </c>
      <c r="M3222" t="b">
        <v>0</v>
      </c>
      <c r="N3222" t="inlineStr">
        <is>
          <t>ref</t>
        </is>
      </c>
      <c r="O3222" t="n">
        <v>100</v>
      </c>
      <c r="P3222" t="n">
        <v>0.1022</v>
      </c>
      <c r="Q3222" t="n">
        <v>95</v>
      </c>
      <c r="R3222" t="n">
        <v>0.1875</v>
      </c>
      <c r="S3222">
        <f>IMAGE("https://mitra.stanford.edu/kundaje/oak/projects/neuro-variants/variant_position/credible/roussos_2024/variant_figures/roussos_2024.infant.GLU/rs2680800_count_position.png",4,220,900)</f>
        <v/>
      </c>
      <c r="T3222">
        <f>IMAGE("https://mitra.stanford.edu/kundaje/oak/projects/neuro-variants/variant_position/credible/roussos_2024/variant_figures/roussos_2024.infant.GLU/rs2680800_profile_position.png",4,220,900)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0.119182304</v>
      </c>
      <c r="G3223" t="n">
        <v>0.0357402228298465</v>
      </c>
      <c r="H3223" t="n">
        <v>0.0140509659164342</v>
      </c>
      <c r="I3223" t="n">
        <v>0.4151501968180894</v>
      </c>
      <c r="J3223" t="n">
        <v>0.3966213981789721</v>
      </c>
      <c r="K3223" t="n">
        <v>0.0457889274991223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0.063</v>
      </c>
      <c r="Q3223" t="n">
        <v>100</v>
      </c>
      <c r="R3223" t="n">
        <v>0.3806</v>
      </c>
      <c r="S3223">
        <f>IMAGE("https://mitra.stanford.edu/kundaje/oak/projects/neuro-variants/variant_position/credible/roussos_2024/variant_figures/roussos_2024.infant.GLU/rs2635642_count_position.png",4,220,900)</f>
        <v/>
      </c>
      <c r="T3223">
        <f>IMAGE("https://mitra.stanford.edu/kundaje/oak/projects/neuro-variants/variant_position/credible/roussos_2024/variant_figures/roussos_2024.infant.GLU/rs2635642_profile_position.png",4,220,900)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-0.120361478</v>
      </c>
      <c r="G3224" t="n">
        <v>0.036001053483509</v>
      </c>
      <c r="H3224" t="n">
        <v>0.0211305572715992</v>
      </c>
      <c r="I3224" t="n">
        <v>0.1643959977892075</v>
      </c>
      <c r="J3224" t="n">
        <v>0.0424094446526598</v>
      </c>
      <c r="K3224" t="n">
        <v>0.3743414421289917</v>
      </c>
      <c r="L3224" t="b">
        <v>0</v>
      </c>
      <c r="M3224" t="b">
        <v>0</v>
      </c>
      <c r="N3224" t="inlineStr">
        <is>
          <t>ref</t>
        </is>
      </c>
      <c r="O3224" t="n">
        <v>-95</v>
      </c>
      <c r="P3224" t="n">
        <v>0.03558</v>
      </c>
      <c r="Q3224" t="n">
        <v>-100</v>
      </c>
      <c r="R3224" t="n">
        <v>0.06519999999999999</v>
      </c>
      <c r="S3224">
        <f>IMAGE("https://mitra.stanford.edu/kundaje/oak/projects/neuro-variants/variant_position/credible/roussos_2024/variant_figures/roussos_2024.infant.GLU/rs2680803_count_position.png",4,220,900)</f>
        <v/>
      </c>
      <c r="T3224">
        <f>IMAGE("https://mitra.stanford.edu/kundaje/oak/projects/neuro-variants/variant_position/credible/roussos_2024/variant_figures/roussos_2024.infant.GLU/rs2680803_profile_position.png",4,220,900)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0.0109152944</v>
      </c>
      <c r="G3225" t="n">
        <v>0.243173980911443</v>
      </c>
      <c r="H3225" t="n">
        <v>0.0142243167890757</v>
      </c>
      <c r="I3225" t="n">
        <v>0.4195704134655632</v>
      </c>
      <c r="J3225" t="n">
        <v>0.0870323419828478</v>
      </c>
      <c r="K3225" t="n">
        <v>0.2351687736560823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0.01794</v>
      </c>
      <c r="Q3225" t="n">
        <v>100</v>
      </c>
      <c r="R3225" t="n">
        <v>0.181</v>
      </c>
      <c r="S3225">
        <f>IMAGE("https://mitra.stanford.edu/kundaje/oak/projects/neuro-variants/variant_position/credible/roussos_2024/variant_figures/roussos_2024.infant.GLU/rs75819762_count_position.png",4,220,900)</f>
        <v/>
      </c>
      <c r="T3225">
        <f>IMAGE("https://mitra.stanford.edu/kundaje/oak/projects/neuro-variants/variant_position/credible/roussos_2024/variant_figures/roussos_2024.infant.GLU/rs75819762_profile_position.png",4,220,900)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-0.0191644421399999</v>
      </c>
      <c r="G3226" t="n">
        <v>0.4687302481057185</v>
      </c>
      <c r="H3226" t="n">
        <v>0.009636522045182</v>
      </c>
      <c r="I3226" t="n">
        <v>0.7690746312849568</v>
      </c>
      <c r="J3226" t="n">
        <v>0.4966798209837078</v>
      </c>
      <c r="K3226" t="n">
        <v>0.0317720483152123</v>
      </c>
      <c r="L3226" t="b">
        <v>0</v>
      </c>
      <c r="M3226" t="b">
        <v>0</v>
      </c>
      <c r="N3226" t="inlineStr">
        <is>
          <t>ref</t>
        </is>
      </c>
      <c r="O3226" t="n">
        <v>10</v>
      </c>
      <c r="P3226" t="n">
        <v>0.001556</v>
      </c>
      <c r="Q3226" t="n">
        <v>20</v>
      </c>
      <c r="R3226" t="n">
        <v>0.0791</v>
      </c>
      <c r="S3226">
        <f>IMAGE("https://mitra.stanford.edu/kundaje/oak/projects/neuro-variants/variant_position/credible/roussos_2024/variant_figures/roussos_2024.infant.GLU/rs1862574_count_position.png",4,220,900)</f>
        <v/>
      </c>
      <c r="T3226">
        <f>IMAGE("https://mitra.stanford.edu/kundaje/oak/projects/neuro-variants/variant_position/credible/roussos_2024/variant_figures/roussos_2024.infant.GLU/rs1862574_profile_position.png",4,220,900)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-0.0658941064</v>
      </c>
      <c r="G3227" t="n">
        <v>0.1170344695279757</v>
      </c>
      <c r="H3227" t="n">
        <v>0.0135267788145771</v>
      </c>
      <c r="I3227" t="n">
        <v>0.4486010363247291</v>
      </c>
      <c r="J3227" t="n">
        <v>0.2313388743138076</v>
      </c>
      <c r="K3227" t="n">
        <v>0.09427995869254061</v>
      </c>
      <c r="L3227" t="b">
        <v>0</v>
      </c>
      <c r="M3227" t="b">
        <v>0</v>
      </c>
      <c r="N3227" t="inlineStr">
        <is>
          <t>ref</t>
        </is>
      </c>
      <c r="O3227" t="n">
        <v>-100</v>
      </c>
      <c r="P3227" t="n">
        <v>0.01278</v>
      </c>
      <c r="Q3227" t="n">
        <v>-40</v>
      </c>
      <c r="R3227" t="n">
        <v>0.1311</v>
      </c>
      <c r="S3227">
        <f>IMAGE("https://mitra.stanford.edu/kundaje/oak/projects/neuro-variants/variant_position/credible/roussos_2024/variant_figures/roussos_2024.infant.GLU/rs2973038_count_position.png",4,220,900)</f>
        <v/>
      </c>
      <c r="T3227">
        <f>IMAGE("https://mitra.stanford.edu/kundaje/oak/projects/neuro-variants/variant_position/credible/roussos_2024/variant_figures/roussos_2024.infant.GLU/rs2973038_profile_position.png",4,220,900)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0.073317339</v>
      </c>
      <c r="G3228" t="n">
        <v>0.0950659026187498</v>
      </c>
      <c r="H3228" t="n">
        <v>0.0175480478078456</v>
      </c>
      <c r="I3228" t="n">
        <v>0.2576374235010684</v>
      </c>
      <c r="J3228" t="n">
        <v>0.0027469741396414</v>
      </c>
      <c r="K3228" t="n">
        <v>0.8248588539202111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0.01625</v>
      </c>
      <c r="Q3228" t="n">
        <v>-70</v>
      </c>
      <c r="R3228" t="n">
        <v>0.0733</v>
      </c>
      <c r="S3228">
        <f>IMAGE("https://mitra.stanford.edu/kundaje/oak/projects/neuro-variants/variant_position/credible/roussos_2024/variant_figures/roussos_2024.infant.GLU/rs7702731_count_position.png",4,220,900)</f>
        <v/>
      </c>
      <c r="T3228">
        <f>IMAGE("https://mitra.stanford.edu/kundaje/oak/projects/neuro-variants/variant_position/credible/roussos_2024/variant_figures/roussos_2024.infant.GLU/rs7702731_profile_position.png",4,220,900)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-0.01386772678</v>
      </c>
      <c r="G3229" t="n">
        <v>0.5615731332326445</v>
      </c>
      <c r="H3229" t="n">
        <v>0.0308824140188287</v>
      </c>
      <c r="I3229" t="n">
        <v>0.0530491757443216</v>
      </c>
      <c r="J3229" t="n">
        <v>0.0069930994951387</v>
      </c>
      <c r="K3229" t="n">
        <v>0.7246197403105811</v>
      </c>
      <c r="L3229" t="b">
        <v>0</v>
      </c>
      <c r="M3229" t="b">
        <v>0</v>
      </c>
      <c r="N3229" t="inlineStr">
        <is>
          <t>ref</t>
        </is>
      </c>
      <c r="O3229" t="n">
        <v>-90</v>
      </c>
      <c r="P3229" t="n">
        <v>0.08234</v>
      </c>
      <c r="Q3229" t="n">
        <v>100</v>
      </c>
      <c r="R3229" t="n">
        <v>0.0509</v>
      </c>
      <c r="S3229">
        <f>IMAGE("https://mitra.stanford.edu/kundaje/oak/projects/neuro-variants/variant_position/credible/roussos_2024/variant_figures/roussos_2024.infant.GLU/rs11738503_count_position.png",4,220,900)</f>
        <v/>
      </c>
      <c r="T3229">
        <f>IMAGE("https://mitra.stanford.edu/kundaje/oak/projects/neuro-variants/variant_position/credible/roussos_2024/variant_figures/roussos_2024.infant.GLU/rs11738503_profile_position.png",4,220,900)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-0.1074465386</v>
      </c>
      <c r="G3230" t="n">
        <v>0.0457520551241895</v>
      </c>
      <c r="H3230" t="n">
        <v>0.0326977536651917</v>
      </c>
      <c r="I3230" t="n">
        <v>0.0434358332138042</v>
      </c>
      <c r="J3230" t="n">
        <v>0.1444509358671928</v>
      </c>
      <c r="K3230" t="n">
        <v>0.158158025778258</v>
      </c>
      <c r="L3230" t="b">
        <v>0</v>
      </c>
      <c r="M3230" t="b">
        <v>0</v>
      </c>
      <c r="N3230" t="inlineStr">
        <is>
          <t>ref</t>
        </is>
      </c>
      <c r="O3230" t="n">
        <v>-65</v>
      </c>
      <c r="P3230" t="n">
        <v>0.006493</v>
      </c>
      <c r="Q3230" t="n">
        <v>30</v>
      </c>
      <c r="R3230" t="n">
        <v>0.0885</v>
      </c>
      <c r="S3230">
        <f>IMAGE("https://mitra.stanford.edu/kundaje/oak/projects/neuro-variants/variant_position/credible/roussos_2024/variant_figures/roussos_2024.infant.GLU/rs138471599_count_position.png",4,220,900)</f>
        <v/>
      </c>
      <c r="T3230">
        <f>IMAGE("https://mitra.stanford.edu/kundaje/oak/projects/neuro-variants/variant_position/credible/roussos_2024/variant_figures/roussos_2024.infant.GLU/rs138471599_profile_position.png",4,220,900)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0.130403162</v>
      </c>
      <c r="G3231" t="n">
        <v>0.0279870651822102</v>
      </c>
      <c r="H3231" t="n">
        <v>0.0161487520669368</v>
      </c>
      <c r="I3231" t="n">
        <v>0.3067695654179698</v>
      </c>
      <c r="J3231" t="n">
        <v>0.0125267311889591</v>
      </c>
      <c r="K3231" t="n">
        <v>0.6189219434322725</v>
      </c>
      <c r="L3231" t="b">
        <v>0</v>
      </c>
      <c r="M3231" t="b">
        <v>0</v>
      </c>
      <c r="N3231" t="inlineStr">
        <is>
          <t>alt</t>
        </is>
      </c>
      <c r="O3231" t="n">
        <v>-10</v>
      </c>
      <c r="P3231" t="n">
        <v>0.0083</v>
      </c>
      <c r="Q3231" t="n">
        <v>-25</v>
      </c>
      <c r="R3231" t="n">
        <v>0.0221</v>
      </c>
      <c r="S3231">
        <f>IMAGE("https://mitra.stanford.edu/kundaje/oak/projects/neuro-variants/variant_position/credible/roussos_2024/variant_figures/roussos_2024.infant.GLU/rs245412_count_position.png",4,220,900)</f>
        <v/>
      </c>
      <c r="T3231">
        <f>IMAGE("https://mitra.stanford.edu/kundaje/oak/projects/neuro-variants/variant_position/credible/roussos_2024/variant_figures/roussos_2024.infant.GLU/rs245412_profile_position.png",4,220,900)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-0.06603628539999989</v>
      </c>
      <c r="G3232" t="n">
        <v>0.1095126778797223</v>
      </c>
      <c r="H3232" t="n">
        <v>0.0114279289062016</v>
      </c>
      <c r="I3232" t="n">
        <v>0.6091866247036843</v>
      </c>
      <c r="J3232" t="n">
        <v>0.080599219559514</v>
      </c>
      <c r="K3232" t="n">
        <v>0.2441886122856429</v>
      </c>
      <c r="L3232" t="b">
        <v>0</v>
      </c>
      <c r="M3232" t="b">
        <v>0</v>
      </c>
      <c r="N3232" t="inlineStr">
        <is>
          <t>ref</t>
        </is>
      </c>
      <c r="O3232" t="n">
        <v>100</v>
      </c>
      <c r="P3232" t="n">
        <v>0.01255</v>
      </c>
      <c r="Q3232" t="n">
        <v>-100</v>
      </c>
      <c r="R3232" t="n">
        <v>0.2166</v>
      </c>
      <c r="S3232">
        <f>IMAGE("https://mitra.stanford.edu/kundaje/oak/projects/neuro-variants/variant_position/credible/roussos_2024/variant_figures/roussos_2024.infant.GLU/rs151893_count_position.png",4,220,900)</f>
        <v/>
      </c>
      <c r="T3232">
        <f>IMAGE("https://mitra.stanford.edu/kundaje/oak/projects/neuro-variants/variant_position/credible/roussos_2024/variant_figures/roussos_2024.infant.GLU/rs151893_profile_position.png",4,220,900)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-0.21773422</v>
      </c>
      <c r="G3233" t="n">
        <v>0.008697443197528401</v>
      </c>
      <c r="H3233" t="n">
        <v>0.0535985574725549</v>
      </c>
      <c r="I3233" t="n">
        <v>0.0056135903948322</v>
      </c>
      <c r="J3233" t="n">
        <v>0.09768844110319889</v>
      </c>
      <c r="K3233" t="n">
        <v>0.2087345711809489</v>
      </c>
      <c r="L3233" t="b">
        <v>1</v>
      </c>
      <c r="M3233" t="b">
        <v>1</v>
      </c>
      <c r="N3233" t="inlineStr">
        <is>
          <t>ref</t>
        </is>
      </c>
      <c r="O3233" t="n">
        <v>-35</v>
      </c>
      <c r="P3233" t="n">
        <v>0.00515</v>
      </c>
      <c r="Q3233" t="n">
        <v>-35</v>
      </c>
      <c r="R3233" t="n">
        <v>0.1765</v>
      </c>
      <c r="S3233">
        <f>IMAGE("https://mitra.stanford.edu/kundaje/oak/projects/neuro-variants/variant_position/credible/roussos_2024/variant_figures/roussos_2024.infant.GLU/rs158280_count_position.png",4,220,900)</f>
        <v/>
      </c>
      <c r="T3233">
        <f>IMAGE("https://mitra.stanford.edu/kundaje/oak/projects/neuro-variants/variant_position/credible/roussos_2024/variant_figures/roussos_2024.infant.GLU/rs158280_profile_position.png",4,220,900)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-0.227930386</v>
      </c>
      <c r="G3234" t="n">
        <v>0.0077510310429679</v>
      </c>
      <c r="H3234" t="n">
        <v>0.0365898589844212</v>
      </c>
      <c r="I3234" t="n">
        <v>0.0301343478177084</v>
      </c>
      <c r="J3234" t="n">
        <v>0.0864800811305363</v>
      </c>
      <c r="K3234" t="n">
        <v>0.2546482253748951</v>
      </c>
      <c r="L3234" t="b">
        <v>1</v>
      </c>
      <c r="M3234" t="b">
        <v>1</v>
      </c>
      <c r="N3234" t="inlineStr">
        <is>
          <t>ref</t>
        </is>
      </c>
      <c r="O3234" t="n">
        <v>100</v>
      </c>
      <c r="P3234" t="n">
        <v>0.01108</v>
      </c>
      <c r="Q3234" t="n">
        <v>-95</v>
      </c>
      <c r="R3234" t="n">
        <v>0.07983</v>
      </c>
      <c r="S3234">
        <f>IMAGE("https://mitra.stanford.edu/kundaje/oak/projects/neuro-variants/variant_position/credible/roussos_2024/variant_figures/roussos_2024.infant.GLU/rs832636_count_position.png",4,220,900)</f>
        <v/>
      </c>
      <c r="T3234">
        <f>IMAGE("https://mitra.stanford.edu/kundaje/oak/projects/neuro-variants/variant_position/credible/roussos_2024/variant_figures/roussos_2024.infant.GLU/rs832636_profile_position.png",4,220,900)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0.311827412</v>
      </c>
      <c r="G3235" t="n">
        <v>0.0026974959089882</v>
      </c>
      <c r="H3235" t="n">
        <v>0.0591660963664463</v>
      </c>
      <c r="I3235" t="n">
        <v>0.0034560886267524</v>
      </c>
      <c r="J3235" t="n">
        <v>0.0382955973456204</v>
      </c>
      <c r="K3235" t="n">
        <v>0.4080121175566966</v>
      </c>
      <c r="L3235" t="b">
        <v>1</v>
      </c>
      <c r="M3235" t="b">
        <v>1</v>
      </c>
      <c r="N3235" t="inlineStr">
        <is>
          <t>alt</t>
        </is>
      </c>
      <c r="O3235" t="n">
        <v>60</v>
      </c>
      <c r="P3235" t="n">
        <v>0.003212</v>
      </c>
      <c r="Q3235" t="n">
        <v>-30</v>
      </c>
      <c r="R3235" t="n">
        <v>0.05054</v>
      </c>
      <c r="S3235">
        <f>IMAGE("https://mitra.stanford.edu/kundaje/oak/projects/neuro-variants/variant_position/credible/roussos_2024/variant_figures/roussos_2024.infant.GLU/rs12153002_count_position.png",4,220,900)</f>
        <v/>
      </c>
      <c r="T3235">
        <f>IMAGE("https://mitra.stanford.edu/kundaje/oak/projects/neuro-variants/variant_position/credible/roussos_2024/variant_figures/roussos_2024.infant.GLU/rs12153002_profile_position.png",4,220,900)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-0.0193083058</v>
      </c>
      <c r="G3236" t="n">
        <v>0.4584227582373158</v>
      </c>
      <c r="H3236" t="n">
        <v>0.0278417374058474</v>
      </c>
      <c r="I3236" t="n">
        <v>0.0732000005244195</v>
      </c>
      <c r="J3236" t="n">
        <v>0.0417326219713838</v>
      </c>
      <c r="K3236" t="n">
        <v>0.377166958382151</v>
      </c>
      <c r="L3236" t="b">
        <v>0</v>
      </c>
      <c r="M3236" t="b">
        <v>0</v>
      </c>
      <c r="N3236" t="inlineStr">
        <is>
          <t>ref</t>
        </is>
      </c>
      <c r="O3236" t="n">
        <v>100</v>
      </c>
      <c r="P3236" t="n">
        <v>0.002937</v>
      </c>
      <c r="Q3236" t="n">
        <v>55</v>
      </c>
      <c r="R3236" t="n">
        <v>0.052</v>
      </c>
      <c r="S3236">
        <f>IMAGE("https://mitra.stanford.edu/kundaje/oak/projects/neuro-variants/variant_position/credible/roussos_2024/variant_figures/roussos_2024.infant.GLU/rs117702129_count_position.png",4,220,900)</f>
        <v/>
      </c>
      <c r="T3236">
        <f>IMAGE("https://mitra.stanford.edu/kundaje/oak/projects/neuro-variants/variant_position/credible/roussos_2024/variant_figures/roussos_2024.infant.GLU/rs117702129_profile_position.png",4,220,900)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-0.0394884495399999</v>
      </c>
      <c r="G3237" t="n">
        <v>0.2503366680451853</v>
      </c>
      <c r="H3237" t="n">
        <v>0.011700844628421</v>
      </c>
      <c r="I3237" t="n">
        <v>0.5820468155266757</v>
      </c>
      <c r="J3237" t="n">
        <v>0.0219515421415815</v>
      </c>
      <c r="K3237" t="n">
        <v>0.5149443515328169</v>
      </c>
      <c r="L3237" t="b">
        <v>0</v>
      </c>
      <c r="M3237" t="b">
        <v>0</v>
      </c>
      <c r="N3237" t="inlineStr">
        <is>
          <t>ref</t>
        </is>
      </c>
      <c r="O3237" t="n">
        <v>55</v>
      </c>
      <c r="P3237" t="n">
        <v>0.04047</v>
      </c>
      <c r="Q3237" t="n">
        <v>50</v>
      </c>
      <c r="R3237" t="n">
        <v>0.1057</v>
      </c>
      <c r="S3237">
        <f>IMAGE("https://mitra.stanford.edu/kundaje/oak/projects/neuro-variants/variant_position/credible/roussos_2024/variant_figures/roussos_2024.infant.GLU/rs171748_count_position.png",4,220,900)</f>
        <v/>
      </c>
      <c r="T3237">
        <f>IMAGE("https://mitra.stanford.edu/kundaje/oak/projects/neuro-variants/variant_position/credible/roussos_2024/variant_figures/roussos_2024.infant.GLU/rs171748_profile_position.png",4,220,900)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0.00158995936</v>
      </c>
      <c r="G3238" t="n">
        <v>0.8189885355667251</v>
      </c>
      <c r="H3238" t="n">
        <v>0.0161276664013598</v>
      </c>
      <c r="I3238" t="n">
        <v>0.3076398015946505</v>
      </c>
      <c r="J3238" t="n">
        <v>0.0275006062743886</v>
      </c>
      <c r="K3238" t="n">
        <v>0.467305886243444</v>
      </c>
      <c r="L3238" t="b">
        <v>0</v>
      </c>
      <c r="M3238" t="b">
        <v>0</v>
      </c>
      <c r="N3238" t="inlineStr">
        <is>
          <t>alt</t>
        </is>
      </c>
      <c r="O3238" t="n">
        <v>-90</v>
      </c>
      <c r="P3238" t="n">
        <v>0.05676</v>
      </c>
      <c r="Q3238" t="n">
        <v>-90</v>
      </c>
      <c r="R3238" t="n">
        <v>0.04645</v>
      </c>
      <c r="S3238">
        <f>IMAGE("https://mitra.stanford.edu/kundaje/oak/projects/neuro-variants/variant_position/credible/roussos_2024/variant_figures/roussos_2024.infant.GLU/rs177114_count_position.png",4,220,900)</f>
        <v/>
      </c>
      <c r="T3238">
        <f>IMAGE("https://mitra.stanford.edu/kundaje/oak/projects/neuro-variants/variant_position/credible/roussos_2024/variant_figures/roussos_2024.infant.GLU/rs177114_profile_position.png",4,220,900)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-0.00644271918</v>
      </c>
      <c r="G3239" t="n">
        <v>0.7477924819474951</v>
      </c>
      <c r="H3239" t="n">
        <v>0.008126288451317101</v>
      </c>
      <c r="I3239" t="n">
        <v>0.8796692475079022</v>
      </c>
      <c r="J3239" t="n">
        <v>0.2864822857646773</v>
      </c>
      <c r="K3239" t="n">
        <v>0.073552451761086</v>
      </c>
      <c r="L3239" t="b">
        <v>0</v>
      </c>
      <c r="M3239" t="b">
        <v>0</v>
      </c>
      <c r="N3239" t="inlineStr">
        <is>
          <t>ref</t>
        </is>
      </c>
      <c r="O3239" t="n">
        <v>-100</v>
      </c>
      <c r="P3239" t="n">
        <v>0.0528</v>
      </c>
      <c r="Q3239" t="n">
        <v>60</v>
      </c>
      <c r="R3239" t="n">
        <v>0.0337</v>
      </c>
      <c r="S3239">
        <f>IMAGE("https://mitra.stanford.edu/kundaje/oak/projects/neuro-variants/variant_position/credible/roussos_2024/variant_figures/roussos_2024.infant.GLU/rs476099_count_position.png",4,220,900)</f>
        <v/>
      </c>
      <c r="T3239">
        <f>IMAGE("https://mitra.stanford.edu/kundaje/oak/projects/neuro-variants/variant_position/credible/roussos_2024/variant_figures/roussos_2024.infant.GLU/rs476099_profile_position.png",4,220,900)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-0.00736402582</v>
      </c>
      <c r="G3240" t="n">
        <v>0.719835290398419</v>
      </c>
      <c r="H3240" t="n">
        <v>0.008720198893440501</v>
      </c>
      <c r="I3240" t="n">
        <v>0.8501842064281724</v>
      </c>
      <c r="J3240" t="n">
        <v>0.0019224409709208</v>
      </c>
      <c r="K3240" t="n">
        <v>0.8675886545463612</v>
      </c>
      <c r="L3240" t="b">
        <v>0</v>
      </c>
      <c r="M3240" t="b">
        <v>0</v>
      </c>
      <c r="N3240" t="inlineStr">
        <is>
          <t>ref</t>
        </is>
      </c>
      <c r="O3240" t="n">
        <v>60</v>
      </c>
      <c r="P3240" t="n">
        <v>0.00812</v>
      </c>
      <c r="Q3240" t="n">
        <v>-55</v>
      </c>
      <c r="R3240" t="n">
        <v>0.02759</v>
      </c>
      <c r="S3240">
        <f>IMAGE("https://mitra.stanford.edu/kundaje/oak/projects/neuro-variants/variant_position/credible/roussos_2024/variant_figures/roussos_2024.infant.GLU/rs192070971_count_position.png",4,220,900)</f>
        <v/>
      </c>
      <c r="T3240">
        <f>IMAGE("https://mitra.stanford.edu/kundaje/oak/projects/neuro-variants/variant_position/credible/roussos_2024/variant_figures/roussos_2024.infant.GLU/rs192070971_profile_position.png",4,220,900)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0.00526265998</v>
      </c>
      <c r="G3241" t="n">
        <v>0.7172480932431783</v>
      </c>
      <c r="H3241" t="n">
        <v>0.0376515693446622</v>
      </c>
      <c r="I3241" t="n">
        <v>0.0256356423250444</v>
      </c>
      <c r="J3241" t="n">
        <v>0.0190899270266099</v>
      </c>
      <c r="K3241" t="n">
        <v>0.5464242341864283</v>
      </c>
      <c r="L3241" t="b">
        <v>0</v>
      </c>
      <c r="M3241" t="b">
        <v>0</v>
      </c>
      <c r="N3241" t="inlineStr">
        <is>
          <t>alt</t>
        </is>
      </c>
      <c r="O3241" t="n">
        <v>80</v>
      </c>
      <c r="P3241" t="n">
        <v>0.01291</v>
      </c>
      <c r="Q3241" t="n">
        <v>-100</v>
      </c>
      <c r="R3241" t="n">
        <v>0.10657</v>
      </c>
      <c r="S3241">
        <f>IMAGE("https://mitra.stanford.edu/kundaje/oak/projects/neuro-variants/variant_position/credible/roussos_2024/variant_figures/roussos_2024.infant.GLU/rs10939891_count_position.png",4,220,900)</f>
        <v/>
      </c>
      <c r="T3241">
        <f>IMAGE("https://mitra.stanford.edu/kundaje/oak/projects/neuro-variants/variant_position/credible/roussos_2024/variant_figures/roussos_2024.infant.GLU/rs10939891_profile_position.png",4,220,900)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-0.0757560112</v>
      </c>
      <c r="G3242" t="n">
        <v>0.0898881359747775</v>
      </c>
      <c r="H3242" t="n">
        <v>0.015429933494909</v>
      </c>
      <c r="I3242" t="n">
        <v>0.342129030151129</v>
      </c>
      <c r="J3242" t="n">
        <v>0.2560836879119909</v>
      </c>
      <c r="K3242" t="n">
        <v>0.0822726745738797</v>
      </c>
      <c r="L3242" t="b">
        <v>0</v>
      </c>
      <c r="M3242" t="b">
        <v>0</v>
      </c>
      <c r="N3242" t="inlineStr">
        <is>
          <t>ref</t>
        </is>
      </c>
      <c r="O3242" t="n">
        <v>-90</v>
      </c>
      <c r="P3242" t="n">
        <v>0.013336</v>
      </c>
      <c r="Q3242" t="n">
        <v>-100</v>
      </c>
      <c r="R3242" t="n">
        <v>0.0689</v>
      </c>
      <c r="S3242">
        <f>IMAGE("https://mitra.stanford.edu/kundaje/oak/projects/neuro-variants/variant_position/credible/roussos_2024/variant_figures/roussos_2024.infant.GLU/rs11949390_count_position.png",4,220,900)</f>
        <v/>
      </c>
      <c r="T3242">
        <f>IMAGE("https://mitra.stanford.edu/kundaje/oak/projects/neuro-variants/variant_position/credible/roussos_2024/variant_figures/roussos_2024.infant.GLU/rs11949390_profile_position.png",4,220,900)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0.00884946912</v>
      </c>
      <c r="G3243" t="n">
        <v>0.6634874545562834</v>
      </c>
      <c r="H3243" t="n">
        <v>0.0068461265507283</v>
      </c>
      <c r="I3243" t="n">
        <v>0.9665210521700088</v>
      </c>
      <c r="J3243" t="n">
        <v>0.0337849158932074</v>
      </c>
      <c r="K3243" t="n">
        <v>0.431951492755084</v>
      </c>
      <c r="L3243" t="b">
        <v>0</v>
      </c>
      <c r="M3243" t="b">
        <v>0</v>
      </c>
      <c r="N3243" t="inlineStr">
        <is>
          <t>alt</t>
        </is>
      </c>
      <c r="O3243" t="n">
        <v>45</v>
      </c>
      <c r="P3243" t="n">
        <v>0.0946</v>
      </c>
      <c r="Q3243" t="n">
        <v>100</v>
      </c>
      <c r="R3243" t="n">
        <v>0.1156</v>
      </c>
      <c r="S3243">
        <f>IMAGE("https://mitra.stanford.edu/kundaje/oak/projects/neuro-variants/variant_position/credible/roussos_2024/variant_figures/roussos_2024.infant.GLU/rs10939894_count_position.png",4,220,900)</f>
        <v/>
      </c>
      <c r="T3243">
        <f>IMAGE("https://mitra.stanford.edu/kundaje/oak/projects/neuro-variants/variant_position/credible/roussos_2024/variant_figures/roussos_2024.infant.GLU/rs10939894_profile_position.png",4,220,900)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-0.1887513992</v>
      </c>
      <c r="G3244" t="n">
        <v>0.0148078247563834</v>
      </c>
      <c r="H3244" t="n">
        <v>0.0391966784047261</v>
      </c>
      <c r="I3244" t="n">
        <v>0.0267658595761443</v>
      </c>
      <c r="J3244" t="n">
        <v>0.0245530104279194</v>
      </c>
      <c r="K3244" t="n">
        <v>0.514056232325981</v>
      </c>
      <c r="L3244" t="b">
        <v>1</v>
      </c>
      <c r="M3244" t="b">
        <v>0</v>
      </c>
      <c r="N3244" t="inlineStr">
        <is>
          <t>ref</t>
        </is>
      </c>
      <c r="O3244" t="n">
        <v>10</v>
      </c>
      <c r="P3244" t="n">
        <v>0.000824</v>
      </c>
      <c r="Q3244" t="n">
        <v>100</v>
      </c>
      <c r="R3244" t="n">
        <v>0.0795</v>
      </c>
      <c r="S3244">
        <f>IMAGE("https://mitra.stanford.edu/kundaje/oak/projects/neuro-variants/variant_position/credible/roussos_2024/variant_figures/roussos_2024.infant.GLU/rs13179814_count_position.png",4,220,900)</f>
        <v/>
      </c>
      <c r="T3244">
        <f>IMAGE("https://mitra.stanford.edu/kundaje/oak/projects/neuro-variants/variant_position/credible/roussos_2024/variant_figures/roussos_2024.infant.GLU/rs13179814_profile_position.png",4,220,900)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0.03304860136</v>
      </c>
      <c r="G3245" t="n">
        <v>0.2994041952820682</v>
      </c>
      <c r="H3245" t="n">
        <v>0.018497495034129</v>
      </c>
      <c r="I3245" t="n">
        <v>0.2273605433226476</v>
      </c>
      <c r="J3245" t="n">
        <v>0.011762825459115</v>
      </c>
      <c r="K3245" t="n">
        <v>0.6521451938047573</v>
      </c>
      <c r="L3245" t="b">
        <v>0</v>
      </c>
      <c r="M3245" t="b">
        <v>0</v>
      </c>
      <c r="N3245" t="inlineStr">
        <is>
          <t>alt</t>
        </is>
      </c>
      <c r="O3245" t="n">
        <v>-20</v>
      </c>
      <c r="P3245" t="n">
        <v>0.0565</v>
      </c>
      <c r="Q3245" t="n">
        <v>-20</v>
      </c>
      <c r="R3245" t="n">
        <v>0.05408</v>
      </c>
      <c r="S3245">
        <f>IMAGE("https://mitra.stanford.edu/kundaje/oak/projects/neuro-variants/variant_position/credible/roussos_2024/variant_figures/roussos_2024.infant.GLU/rs62366231_count_position.png",4,220,900)</f>
        <v/>
      </c>
      <c r="T3245">
        <f>IMAGE("https://mitra.stanford.edu/kundaje/oak/projects/neuro-variants/variant_position/credible/roussos_2024/variant_figures/roussos_2024.infant.GLU/rs62366231_profile_position.png",4,220,900)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-0.269529398</v>
      </c>
      <c r="G3246" t="n">
        <v>0.0042251053177683</v>
      </c>
      <c r="H3246" t="n">
        <v>0.0335757178476179</v>
      </c>
      <c r="I3246" t="n">
        <v>0.0395910782896078</v>
      </c>
      <c r="J3246" t="n">
        <v>0.0513183712162966</v>
      </c>
      <c r="K3246" t="n">
        <v>0.3398813105521407</v>
      </c>
      <c r="L3246" t="b">
        <v>1</v>
      </c>
      <c r="M3246" t="b">
        <v>1</v>
      </c>
      <c r="N3246" t="inlineStr">
        <is>
          <t>ref</t>
        </is>
      </c>
      <c r="O3246" t="n">
        <v>100</v>
      </c>
      <c r="P3246" t="n">
        <v>0.3289</v>
      </c>
      <c r="Q3246" t="n">
        <v>90</v>
      </c>
      <c r="R3246" t="n">
        <v>0.133</v>
      </c>
      <c r="S3246">
        <f>IMAGE("https://mitra.stanford.edu/kundaje/oak/projects/neuro-variants/variant_position/credible/roussos_2024/variant_figures/roussos_2024.infant.GLU/rs4604142_count_position.png",4,220,900)</f>
        <v/>
      </c>
      <c r="T3246">
        <f>IMAGE("https://mitra.stanford.edu/kundaje/oak/projects/neuro-variants/variant_position/credible/roussos_2024/variant_figures/roussos_2024.infant.GLU/rs4604142_profile_position.png",4,220,900)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0.0260866209999999</v>
      </c>
      <c r="G3247" t="n">
        <v>0.3578144999202372</v>
      </c>
      <c r="H3247" t="n">
        <v>0.0088750349355261</v>
      </c>
      <c r="I3247" t="n">
        <v>0.835178190208514</v>
      </c>
      <c r="J3247" t="n">
        <v>0.1036971714543971</v>
      </c>
      <c r="K3247" t="n">
        <v>0.2034008548121358</v>
      </c>
      <c r="L3247" t="b">
        <v>0</v>
      </c>
      <c r="M3247" t="b">
        <v>0</v>
      </c>
      <c r="N3247" t="inlineStr">
        <is>
          <t>alt</t>
        </is>
      </c>
      <c r="O3247" t="n">
        <v>-80</v>
      </c>
      <c r="P3247" t="n">
        <v>0.02866</v>
      </c>
      <c r="Q3247" t="n">
        <v>-95</v>
      </c>
      <c r="R3247" t="n">
        <v>0.1691</v>
      </c>
      <c r="S3247">
        <f>IMAGE("https://mitra.stanford.edu/kundaje/oak/projects/neuro-variants/variant_position/credible/roussos_2024/variant_figures/roussos_2024.infant.GLU/rs10939902_count_position.png",4,220,900)</f>
        <v/>
      </c>
      <c r="T3247">
        <f>IMAGE("https://mitra.stanford.edu/kundaje/oak/projects/neuro-variants/variant_position/credible/roussos_2024/variant_figures/roussos_2024.infant.GLU/rs10939902_profile_position.png",4,220,900)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0.0216811173999999</v>
      </c>
      <c r="G3248" t="n">
        <v>0.4100701127948</v>
      </c>
      <c r="H3248" t="n">
        <v>0.0539285642998498</v>
      </c>
      <c r="I3248" t="n">
        <v>0.005455242964165</v>
      </c>
      <c r="J3248" t="n">
        <v>0.0376518441764588</v>
      </c>
      <c r="K3248" t="n">
        <v>0.4076756511001385</v>
      </c>
      <c r="L3248" t="b">
        <v>1</v>
      </c>
      <c r="M3248" t="b">
        <v>0</v>
      </c>
      <c r="N3248" t="inlineStr">
        <is>
          <t>alt</t>
        </is>
      </c>
      <c r="O3248" t="n">
        <v>85</v>
      </c>
      <c r="P3248" t="n">
        <v>0.05685</v>
      </c>
      <c r="Q3248" t="n">
        <v>-100</v>
      </c>
      <c r="R3248" t="n">
        <v>0.06900000000000001</v>
      </c>
      <c r="S3248">
        <f>IMAGE("https://mitra.stanford.edu/kundaje/oak/projects/neuro-variants/variant_position/credible/roussos_2024/variant_figures/roussos_2024.infant.GLU/rs34270022_count_position.png",4,220,900)</f>
        <v/>
      </c>
      <c r="T3248">
        <f>IMAGE("https://mitra.stanford.edu/kundaje/oak/projects/neuro-variants/variant_position/credible/roussos_2024/variant_figures/roussos_2024.infant.GLU/rs34270022_profile_position.png",4,220,900)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0.0470195728</v>
      </c>
      <c r="G3249" t="n">
        <v>0.1776361666414501</v>
      </c>
      <c r="H3249" t="n">
        <v>0.0147800806577163</v>
      </c>
      <c r="I3249" t="n">
        <v>0.3721005448299433</v>
      </c>
      <c r="J3249" t="n">
        <v>0.0030060186512047</v>
      </c>
      <c r="K3249" t="n">
        <v>0.8132812200390861</v>
      </c>
      <c r="L3249" t="b">
        <v>0</v>
      </c>
      <c r="M3249" t="b">
        <v>0</v>
      </c>
      <c r="N3249" t="inlineStr">
        <is>
          <t>alt</t>
        </is>
      </c>
      <c r="O3249" t="n">
        <v>-100</v>
      </c>
      <c r="P3249" t="n">
        <v>0.008255</v>
      </c>
      <c r="Q3249" t="n">
        <v>-100</v>
      </c>
      <c r="R3249" t="n">
        <v>0.07779999999999999</v>
      </c>
      <c r="S3249">
        <f>IMAGE("https://mitra.stanford.edu/kundaje/oak/projects/neuro-variants/variant_position/credible/roussos_2024/variant_figures/roussos_2024.infant.GLU/rs3104058_count_position.png",4,220,900)</f>
        <v/>
      </c>
      <c r="T3249">
        <f>IMAGE("https://mitra.stanford.edu/kundaje/oak/projects/neuro-variants/variant_position/credible/roussos_2024/variant_figures/roussos_2024.infant.GLU/rs3104058_profile_position.png",4,220,900)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0.00472504014</v>
      </c>
      <c r="G3250" t="n">
        <v>0.6656292406834</v>
      </c>
      <c r="H3250" t="n">
        <v>0.0371614924259158</v>
      </c>
      <c r="I3250" t="n">
        <v>0.0269271767045022</v>
      </c>
      <c r="J3250" t="n">
        <v>0.0578407813223395</v>
      </c>
      <c r="K3250" t="n">
        <v>0.3121389516613372</v>
      </c>
      <c r="L3250" t="b">
        <v>0</v>
      </c>
      <c r="M3250" t="b">
        <v>0</v>
      </c>
      <c r="N3250" t="inlineStr">
        <is>
          <t>alt</t>
        </is>
      </c>
      <c r="O3250" t="n">
        <v>-100</v>
      </c>
      <c r="P3250" t="n">
        <v>0.06616</v>
      </c>
      <c r="Q3250" t="n">
        <v>-80</v>
      </c>
      <c r="R3250" t="n">
        <v>0.1019</v>
      </c>
      <c r="S3250">
        <f>IMAGE("https://mitra.stanford.edu/kundaje/oak/projects/neuro-variants/variant_position/credible/roussos_2024/variant_figures/roussos_2024.infant.GLU/rs1603090_count_position.png",4,220,900)</f>
        <v/>
      </c>
      <c r="T3250">
        <f>IMAGE("https://mitra.stanford.edu/kundaje/oak/projects/neuro-variants/variant_position/credible/roussos_2024/variant_figures/roussos_2024.infant.GLU/rs1603090_profile_position.png",4,220,900)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0.1035871885999999</v>
      </c>
      <c r="G3251" t="n">
        <v>0.0510940872190452</v>
      </c>
      <c r="H3251" t="n">
        <v>0.0193192076480911</v>
      </c>
      <c r="I3251" t="n">
        <v>0.2079566576353402</v>
      </c>
      <c r="J3251" t="n">
        <v>0.196131969399678</v>
      </c>
      <c r="K3251" t="n">
        <v>0.1104641278884494</v>
      </c>
      <c r="L3251" t="b">
        <v>0</v>
      </c>
      <c r="M3251" t="b">
        <v>0</v>
      </c>
      <c r="N3251" t="inlineStr">
        <is>
          <t>alt</t>
        </is>
      </c>
      <c r="O3251" t="n">
        <v>85</v>
      </c>
      <c r="P3251" t="n">
        <v>0.02457</v>
      </c>
      <c r="Q3251" t="n">
        <v>100</v>
      </c>
      <c r="R3251" t="n">
        <v>0.1321</v>
      </c>
      <c r="S3251">
        <f>IMAGE("https://mitra.stanford.edu/kundaje/oak/projects/neuro-variants/variant_position/credible/roussos_2024/variant_figures/roussos_2024.infant.GLU/rs2963002_count_position.png",4,220,900)</f>
        <v/>
      </c>
      <c r="T3251">
        <f>IMAGE("https://mitra.stanford.edu/kundaje/oak/projects/neuro-variants/variant_position/credible/roussos_2024/variant_figures/roussos_2024.infant.GLU/rs2963002_profile_position.png",4,220,900)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0.0747901614</v>
      </c>
      <c r="G3252" t="n">
        <v>0.0850275993541437</v>
      </c>
      <c r="H3252" t="n">
        <v>0.0110440183401483</v>
      </c>
      <c r="I3252" t="n">
        <v>0.6377768732448401</v>
      </c>
      <c r="J3252" t="n">
        <v>0.0900593046583919</v>
      </c>
      <c r="K3252" t="n">
        <v>0.2279796765676208</v>
      </c>
      <c r="L3252" t="b">
        <v>0</v>
      </c>
      <c r="M3252" t="b">
        <v>0</v>
      </c>
      <c r="N3252" t="inlineStr">
        <is>
          <t>alt</t>
        </is>
      </c>
      <c r="O3252" t="n">
        <v>-45</v>
      </c>
      <c r="P3252" t="n">
        <v>0.079</v>
      </c>
      <c r="Q3252" t="n">
        <v>85</v>
      </c>
      <c r="R3252" t="n">
        <v>0.0731</v>
      </c>
      <c r="S3252">
        <f>IMAGE("https://mitra.stanford.edu/kundaje/oak/projects/neuro-variants/variant_position/credible/roussos_2024/variant_figures/roussos_2024.infant.GLU/rs11743978_count_position.png",4,220,900)</f>
        <v/>
      </c>
      <c r="T3252">
        <f>IMAGE("https://mitra.stanford.edu/kundaje/oak/projects/neuro-variants/variant_position/credible/roussos_2024/variant_figures/roussos_2024.infant.GLU/rs11743978_profile_position.png",4,220,900)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-0.00927944356</v>
      </c>
      <c r="G3253" t="n">
        <v>0.6663765599015936</v>
      </c>
      <c r="H3253" t="n">
        <v>0.0384477097087098</v>
      </c>
      <c r="I3253" t="n">
        <v>0.0238298719732867</v>
      </c>
      <c r="J3253" t="n">
        <v>0.0061222690094578</v>
      </c>
      <c r="K3253" t="n">
        <v>0.7295128841039016</v>
      </c>
      <c r="L3253" t="b">
        <v>0</v>
      </c>
      <c r="M3253" t="b">
        <v>0</v>
      </c>
      <c r="N3253" t="inlineStr">
        <is>
          <t>ref</t>
        </is>
      </c>
      <c r="O3253" t="n">
        <v>30</v>
      </c>
      <c r="P3253" t="n">
        <v>0.007202</v>
      </c>
      <c r="Q3253" t="n">
        <v>-85</v>
      </c>
      <c r="R3253" t="n">
        <v>0.07920000000000001</v>
      </c>
      <c r="S3253">
        <f>IMAGE("https://mitra.stanford.edu/kundaje/oak/projects/neuro-variants/variant_position/credible/roussos_2024/variant_figures/roussos_2024.infant.GLU/rs6449715_count_position.png",4,220,900)</f>
        <v/>
      </c>
      <c r="T3253">
        <f>IMAGE("https://mitra.stanford.edu/kundaje/oak/projects/neuro-variants/variant_position/credible/roussos_2024/variant_figures/roussos_2024.infant.GLU/rs6449715_profile_position.png",4,220,900)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0.0524812886</v>
      </c>
      <c r="G3254" t="n">
        <v>0.1839295134291378</v>
      </c>
      <c r="H3254" t="n">
        <v>0.0107134254343953</v>
      </c>
      <c r="I3254" t="n">
        <v>0.6146329977488691</v>
      </c>
      <c r="J3254" t="n">
        <v>0.0533730902356753</v>
      </c>
      <c r="K3254" t="n">
        <v>0.3247260288430412</v>
      </c>
      <c r="L3254" t="b">
        <v>0</v>
      </c>
      <c r="M3254" t="b">
        <v>0</v>
      </c>
      <c r="N3254" t="inlineStr">
        <is>
          <t>alt</t>
        </is>
      </c>
      <c r="O3254" t="n">
        <v>-100</v>
      </c>
      <c r="P3254" t="n">
        <v>0.01816</v>
      </c>
      <c r="Q3254" t="n">
        <v>90</v>
      </c>
      <c r="R3254" t="n">
        <v>0.06322999999999999</v>
      </c>
      <c r="S3254">
        <f>IMAGE("https://mitra.stanford.edu/kundaje/oak/projects/neuro-variants/variant_position/credible/roussos_2024/variant_figures/roussos_2024.infant.GLU/rs1526875_count_position.png",4,220,900)</f>
        <v/>
      </c>
      <c r="T3254">
        <f>IMAGE("https://mitra.stanford.edu/kundaje/oak/projects/neuro-variants/variant_position/credible/roussos_2024/variant_figures/roussos_2024.infant.GLU/rs1526875_profile_position.png",4,220,900)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0.0134463491</v>
      </c>
      <c r="G3255" t="n">
        <v>0.54887741433437</v>
      </c>
      <c r="H3255" t="n">
        <v>0.0331241716640978</v>
      </c>
      <c r="I3255" t="n">
        <v>0.0413617004842004</v>
      </c>
      <c r="J3255" t="n">
        <v>0.020992526290262</v>
      </c>
      <c r="K3255" t="n">
        <v>0.5240030002905142</v>
      </c>
      <c r="L3255" t="b">
        <v>0</v>
      </c>
      <c r="M3255" t="b">
        <v>0</v>
      </c>
      <c r="N3255" t="inlineStr">
        <is>
          <t>alt</t>
        </is>
      </c>
      <c r="O3255" t="n">
        <v>-60</v>
      </c>
      <c r="P3255" t="n">
        <v>0.002296</v>
      </c>
      <c r="Q3255" t="n">
        <v>-100</v>
      </c>
      <c r="R3255" t="n">
        <v>0.1644</v>
      </c>
      <c r="S3255">
        <f>IMAGE("https://mitra.stanford.edu/kundaje/oak/projects/neuro-variants/variant_position/credible/roussos_2024/variant_figures/roussos_2024.infant.GLU/rs7732201_count_position.png",4,220,900)</f>
        <v/>
      </c>
      <c r="T3255">
        <f>IMAGE("https://mitra.stanford.edu/kundaje/oak/projects/neuro-variants/variant_position/credible/roussos_2024/variant_figures/roussos_2024.infant.GLU/rs7732201_profile_position.png",4,220,900)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0.0203605448</v>
      </c>
      <c r="G3256" t="n">
        <v>0.428793049241675</v>
      </c>
      <c r="H3256" t="n">
        <v>0.046114242580854</v>
      </c>
      <c r="I3256" t="n">
        <v>0.010992446362746</v>
      </c>
      <c r="J3256" t="n">
        <v>0.0128761657003019</v>
      </c>
      <c r="K3256" t="n">
        <v>0.6185688640362356</v>
      </c>
      <c r="L3256" t="b">
        <v>1</v>
      </c>
      <c r="M3256" t="b">
        <v>0</v>
      </c>
      <c r="N3256" t="inlineStr">
        <is>
          <t>alt</t>
        </is>
      </c>
      <c r="O3256" t="n">
        <v>-35</v>
      </c>
      <c r="P3256" t="n">
        <v>0.006226</v>
      </c>
      <c r="Q3256" t="n">
        <v>-70</v>
      </c>
      <c r="R3256" t="n">
        <v>0.01509</v>
      </c>
      <c r="S3256">
        <f>IMAGE("https://mitra.stanford.edu/kundaje/oak/projects/neuro-variants/variant_position/credible/roussos_2024/variant_figures/roussos_2024.infant.GLU/rs10056417_count_position.png",4,220,900)</f>
        <v/>
      </c>
      <c r="T3256">
        <f>IMAGE("https://mitra.stanford.edu/kundaje/oak/projects/neuro-variants/variant_position/credible/roussos_2024/variant_figures/roussos_2024.infant.GLU/rs10056417_profile_position.png",4,220,900)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-0.06387461679999989</v>
      </c>
      <c r="G3257" t="n">
        <v>0.1193934451418685</v>
      </c>
      <c r="H3257" t="n">
        <v>0.0129680297018569</v>
      </c>
      <c r="I3257" t="n">
        <v>0.4851957340830341</v>
      </c>
      <c r="J3257" t="n">
        <v>0.025224321523843</v>
      </c>
      <c r="K3257" t="n">
        <v>0.4887119272118826</v>
      </c>
      <c r="L3257" t="b">
        <v>0</v>
      </c>
      <c r="M3257" t="b">
        <v>0</v>
      </c>
      <c r="N3257" t="inlineStr">
        <is>
          <t>ref</t>
        </is>
      </c>
      <c r="O3257" t="n">
        <v>-85</v>
      </c>
      <c r="P3257" t="n">
        <v>0.01622</v>
      </c>
      <c r="Q3257" t="n">
        <v>95</v>
      </c>
      <c r="R3257" t="n">
        <v>0.07806</v>
      </c>
      <c r="S3257">
        <f>IMAGE("https://mitra.stanford.edu/kundaje/oak/projects/neuro-variants/variant_position/credible/roussos_2024/variant_figures/roussos_2024.infant.GLU/rs28615727_count_position.png",4,220,900)</f>
        <v/>
      </c>
      <c r="T3257">
        <f>IMAGE("https://mitra.stanford.edu/kundaje/oak/projects/neuro-variants/variant_position/credible/roussos_2024/variant_figures/roussos_2024.infant.GLU/rs28615727_profile_position.png",4,220,900)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0.042740413</v>
      </c>
      <c r="G3258" t="n">
        <v>0.1786281224910186</v>
      </c>
      <c r="H3258" t="n">
        <v>0.0116299847418557</v>
      </c>
      <c r="I3258" t="n">
        <v>0.579481620146159</v>
      </c>
      <c r="J3258" t="n">
        <v>0.1312297449238298</v>
      </c>
      <c r="K3258" t="n">
        <v>0.1651565633008578</v>
      </c>
      <c r="L3258" t="b">
        <v>0</v>
      </c>
      <c r="M3258" t="b">
        <v>0</v>
      </c>
      <c r="N3258" t="inlineStr">
        <is>
          <t>alt</t>
        </is>
      </c>
      <c r="O3258" t="n">
        <v>100</v>
      </c>
      <c r="P3258" t="n">
        <v>0.4675</v>
      </c>
      <c r="Q3258" t="n">
        <v>-45</v>
      </c>
      <c r="R3258" t="n">
        <v>0.01477</v>
      </c>
      <c r="S3258">
        <f>IMAGE("https://mitra.stanford.edu/kundaje/oak/projects/neuro-variants/variant_position/credible/roussos_2024/variant_figures/roussos_2024.infant.GLU/rs6449731_count_position.png",4,220,900)</f>
        <v/>
      </c>
      <c r="T3258">
        <f>IMAGE("https://mitra.stanford.edu/kundaje/oak/projects/neuro-variants/variant_position/credible/roussos_2024/variant_figures/roussos_2024.infant.GLU/rs6449731_profile_position.png",4,220,900)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0.0125313511</v>
      </c>
      <c r="G3259" t="n">
        <v>0.4949932955927038</v>
      </c>
      <c r="H3259" t="n">
        <v>0.034925730802979</v>
      </c>
      <c r="I3259" t="n">
        <v>0.0343301368390305</v>
      </c>
      <c r="J3259" t="n">
        <v>0.0272393571286844</v>
      </c>
      <c r="K3259" t="n">
        <v>0.4700806896635678</v>
      </c>
      <c r="L3259" t="b">
        <v>0</v>
      </c>
      <c r="M3259" t="b">
        <v>0</v>
      </c>
      <c r="N3259" t="inlineStr">
        <is>
          <t>alt</t>
        </is>
      </c>
      <c r="O3259" t="n">
        <v>-95</v>
      </c>
      <c r="P3259" t="n">
        <v>0.0561</v>
      </c>
      <c r="Q3259" t="n">
        <v>-40</v>
      </c>
      <c r="R3259" t="n">
        <v>0.0381</v>
      </c>
      <c r="S3259">
        <f>IMAGE("https://mitra.stanford.edu/kundaje/oak/projects/neuro-variants/variant_position/credible/roussos_2024/variant_figures/roussos_2024.infant.GLU/rs11949865_count_position.png",4,220,900)</f>
        <v/>
      </c>
      <c r="T3259">
        <f>IMAGE("https://mitra.stanford.edu/kundaje/oak/projects/neuro-variants/variant_position/credible/roussos_2024/variant_figures/roussos_2024.infant.GLU/rs11949865_profile_position.png",4,220,900)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0.1944329771999999</v>
      </c>
      <c r="G3260" t="n">
        <v>0.0133059192858475</v>
      </c>
      <c r="H3260" t="n">
        <v>0.0305813999009661</v>
      </c>
      <c r="I3260" t="n">
        <v>0.0557590958038909</v>
      </c>
      <c r="J3260" t="n">
        <v>0.0207345840957692</v>
      </c>
      <c r="K3260" t="n">
        <v>0.5312535741799409</v>
      </c>
      <c r="L3260" t="b">
        <v>1</v>
      </c>
      <c r="M3260" t="b">
        <v>0</v>
      </c>
      <c r="N3260" t="inlineStr">
        <is>
          <t>alt</t>
        </is>
      </c>
      <c r="O3260" t="n">
        <v>-100</v>
      </c>
      <c r="P3260" t="n">
        <v>0.09533999999999999</v>
      </c>
      <c r="Q3260" t="n">
        <v>-100</v>
      </c>
      <c r="R3260" t="n">
        <v>0.0464</v>
      </c>
      <c r="S3260">
        <f>IMAGE("https://mitra.stanford.edu/kundaje/oak/projects/neuro-variants/variant_position/credible/roussos_2024/variant_figures/roussos_2024.infant.GLU/rs4084594_count_position.png",4,220,900)</f>
        <v/>
      </c>
      <c r="T3260">
        <f>IMAGE("https://mitra.stanford.edu/kundaje/oak/projects/neuro-variants/variant_position/credible/roussos_2024/variant_figures/roussos_2024.infant.GLU/rs4084594_profile_position.png",4,220,900)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-0.0284930574</v>
      </c>
      <c r="G3261" t="n">
        <v>0.3389538901906168</v>
      </c>
      <c r="H3261" t="n">
        <v>0.0349748723437883</v>
      </c>
      <c r="I3261" t="n">
        <v>0.0339954846575206</v>
      </c>
      <c r="J3261" t="n">
        <v>0.0348453449150113</v>
      </c>
      <c r="K3261" t="n">
        <v>0.4248211992760722</v>
      </c>
      <c r="L3261" t="b">
        <v>0</v>
      </c>
      <c r="M3261" t="b">
        <v>0</v>
      </c>
      <c r="N3261" t="inlineStr">
        <is>
          <t>ref</t>
        </is>
      </c>
      <c r="O3261" t="n">
        <v>-70</v>
      </c>
      <c r="P3261" t="n">
        <v>0.005234</v>
      </c>
      <c r="Q3261" t="n">
        <v>80</v>
      </c>
      <c r="R3261" t="n">
        <v>0.0655</v>
      </c>
      <c r="S3261">
        <f>IMAGE("https://mitra.stanford.edu/kundaje/oak/projects/neuro-variants/variant_position/credible/roussos_2024/variant_figures/roussos_2024.infant.GLU/rs7735729_count_position.png",4,220,900)</f>
        <v/>
      </c>
      <c r="T3261">
        <f>IMAGE("https://mitra.stanford.edu/kundaje/oak/projects/neuro-variants/variant_position/credible/roussos_2024/variant_figures/roussos_2024.infant.GLU/rs7735729_profile_position.png",4,220,900)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-0.0284139126</v>
      </c>
      <c r="G3262" t="n">
        <v>0.3367765551111958</v>
      </c>
      <c r="H3262" t="n">
        <v>0.0406843876397331</v>
      </c>
      <c r="I3262" t="n">
        <v>0.0189738259625736</v>
      </c>
      <c r="J3262" t="n">
        <v>0.0085594920522938</v>
      </c>
      <c r="K3262" t="n">
        <v>0.6977097346074342</v>
      </c>
      <c r="L3262" t="b">
        <v>0</v>
      </c>
      <c r="M3262" t="b">
        <v>0</v>
      </c>
      <c r="N3262" t="inlineStr">
        <is>
          <t>ref</t>
        </is>
      </c>
      <c r="O3262" t="n">
        <v>-75</v>
      </c>
      <c r="P3262" t="n">
        <v>0.01549</v>
      </c>
      <c r="Q3262" t="n">
        <v>-75</v>
      </c>
      <c r="R3262" t="n">
        <v>0.2405</v>
      </c>
      <c r="S3262">
        <f>IMAGE("https://mitra.stanford.edu/kundaje/oak/projects/neuro-variants/variant_position/credible/roussos_2024/variant_figures/roussos_2024.infant.GLU/rs7736758_count_position.png",4,220,900)</f>
        <v/>
      </c>
      <c r="T3262">
        <f>IMAGE("https://mitra.stanford.edu/kundaje/oak/projects/neuro-variants/variant_position/credible/roussos_2024/variant_figures/roussos_2024.infant.GLU/rs7736758_profile_position.png",4,220,900)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0.0561407502</v>
      </c>
      <c r="G3263" t="n">
        <v>0.1396532041881522</v>
      </c>
      <c r="H3263" t="n">
        <v>0.0250672606420701</v>
      </c>
      <c r="I3263" t="n">
        <v>0.1000323296920763</v>
      </c>
      <c r="J3263" t="n">
        <v>0.0133821292356533</v>
      </c>
      <c r="K3263" t="n">
        <v>0.6065756822909367</v>
      </c>
      <c r="L3263" t="b">
        <v>0</v>
      </c>
      <c r="M3263" t="b">
        <v>0</v>
      </c>
      <c r="N3263" t="inlineStr">
        <is>
          <t>alt</t>
        </is>
      </c>
      <c r="O3263" t="n">
        <v>-100</v>
      </c>
      <c r="P3263" t="n">
        <v>0.003738</v>
      </c>
      <c r="Q3263" t="n">
        <v>-95</v>
      </c>
      <c r="R3263" t="n">
        <v>0.07099999999999999</v>
      </c>
      <c r="S3263">
        <f>IMAGE("https://mitra.stanford.edu/kundaje/oak/projects/neuro-variants/variant_position/credible/roussos_2024/variant_figures/roussos_2024.infant.GLU/rs4470714_count_position.png",4,220,900)</f>
        <v/>
      </c>
      <c r="T3263">
        <f>IMAGE("https://mitra.stanford.edu/kundaje/oak/projects/neuro-variants/variant_position/credible/roussos_2024/variant_figures/roussos_2024.infant.GLU/rs4470714_profile_position.png",4,220,900)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0.00483559022</v>
      </c>
      <c r="G3264" t="n">
        <v>0.7946453639871585</v>
      </c>
      <c r="H3264" t="n">
        <v>0.0291469271251956</v>
      </c>
      <c r="I3264" t="n">
        <v>0.063083866333807</v>
      </c>
      <c r="J3264" t="n">
        <v>0.0416675852642253</v>
      </c>
      <c r="K3264" t="n">
        <v>0.3775835829466626</v>
      </c>
      <c r="L3264" t="b">
        <v>0</v>
      </c>
      <c r="M3264" t="b">
        <v>0</v>
      </c>
      <c r="N3264" t="inlineStr">
        <is>
          <t>alt</t>
        </is>
      </c>
      <c r="O3264" t="n">
        <v>100</v>
      </c>
      <c r="P3264" t="n">
        <v>0.04248</v>
      </c>
      <c r="Q3264" t="n">
        <v>100</v>
      </c>
      <c r="R3264" t="n">
        <v>0.0852</v>
      </c>
      <c r="S3264">
        <f>IMAGE("https://mitra.stanford.edu/kundaje/oak/projects/neuro-variants/variant_position/credible/roussos_2024/variant_figures/roussos_2024.infant.GLU/rs1903305_count_position.png",4,220,900)</f>
        <v/>
      </c>
      <c r="T3264">
        <f>IMAGE("https://mitra.stanford.edu/kundaje/oak/projects/neuro-variants/variant_position/credible/roussos_2024/variant_figures/roussos_2024.infant.GLU/rs1903305_profile_position.png",4,220,900)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-0.0222212074</v>
      </c>
      <c r="G3265" t="n">
        <v>0.4193122782505811</v>
      </c>
      <c r="H3265" t="n">
        <v>0.0453912075400291</v>
      </c>
      <c r="I3265" t="n">
        <v>0.0119341334699226</v>
      </c>
      <c r="J3265" t="n">
        <v>0.2386262924667651</v>
      </c>
      <c r="K3265" t="n">
        <v>0.0890873679065565</v>
      </c>
      <c r="L3265" t="b">
        <v>1</v>
      </c>
      <c r="M3265" t="b">
        <v>0</v>
      </c>
      <c r="N3265" t="inlineStr">
        <is>
          <t>ref</t>
        </is>
      </c>
      <c r="O3265" t="n">
        <v>100</v>
      </c>
      <c r="P3265" t="n">
        <v>0.02234</v>
      </c>
      <c r="Q3265" t="n">
        <v>100</v>
      </c>
      <c r="R3265" t="n">
        <v>0.11316</v>
      </c>
      <c r="S3265">
        <f>IMAGE("https://mitra.stanford.edu/kundaje/oak/projects/neuro-variants/variant_position/credible/roussos_2024/variant_figures/roussos_2024.infant.GLU/rs75930101_count_position.png",4,220,900)</f>
        <v/>
      </c>
      <c r="T3265">
        <f>IMAGE("https://mitra.stanford.edu/kundaje/oak/projects/neuro-variants/variant_position/credible/roussos_2024/variant_figures/roussos_2024.infant.GLU/rs75930101_profile_position.png",4,220,900)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-0.0225899448</v>
      </c>
      <c r="G3266" t="n">
        <v>0.4127848021377932</v>
      </c>
      <c r="H3266" t="n">
        <v>0.0086046023229226</v>
      </c>
      <c r="I3266" t="n">
        <v>0.8608104778608308</v>
      </c>
      <c r="J3266" t="n">
        <v>0.0521043232875503</v>
      </c>
      <c r="K3266" t="n">
        <v>0.3322209502322206</v>
      </c>
      <c r="L3266" t="b">
        <v>0</v>
      </c>
      <c r="M3266" t="b">
        <v>0</v>
      </c>
      <c r="N3266" t="inlineStr">
        <is>
          <t>ref</t>
        </is>
      </c>
      <c r="O3266" t="n">
        <v>-5</v>
      </c>
      <c r="P3266" t="n">
        <v>0.001159</v>
      </c>
      <c r="Q3266" t="n">
        <v>55</v>
      </c>
      <c r="R3266" t="n">
        <v>0.10846</v>
      </c>
      <c r="S3266">
        <f>IMAGE("https://mitra.stanford.edu/kundaje/oak/projects/neuro-variants/variant_position/credible/roussos_2024/variant_figures/roussos_2024.infant.GLU/rs17508283_count_position.png",4,220,900)</f>
        <v/>
      </c>
      <c r="T3266">
        <f>IMAGE("https://mitra.stanford.edu/kundaje/oak/projects/neuro-variants/variant_position/credible/roussos_2024/variant_figures/roussos_2024.infant.GLU/rs17508283_profile_position.png",4,220,900)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-0.0306639913</v>
      </c>
      <c r="G3267" t="n">
        <v>0.3398660687416971</v>
      </c>
      <c r="H3267" t="n">
        <v>0.0296163327068888</v>
      </c>
      <c r="I3267" t="n">
        <v>0.0599883594098688</v>
      </c>
      <c r="J3267" t="n">
        <v>0.022601909213166</v>
      </c>
      <c r="K3267" t="n">
        <v>0.5102629699159664</v>
      </c>
      <c r="L3267" t="b">
        <v>0</v>
      </c>
      <c r="M3267" t="b">
        <v>0</v>
      </c>
      <c r="N3267" t="inlineStr">
        <is>
          <t>ref</t>
        </is>
      </c>
      <c r="O3267" t="n">
        <v>35</v>
      </c>
      <c r="P3267" t="n">
        <v>0.05606</v>
      </c>
      <c r="Q3267" t="n">
        <v>80</v>
      </c>
      <c r="R3267" t="n">
        <v>0.02042</v>
      </c>
      <c r="S3267">
        <f>IMAGE("https://mitra.stanford.edu/kundaje/oak/projects/neuro-variants/variant_position/credible/roussos_2024/variant_figures/roussos_2024.infant.GLU/rs12109397_count_position.png",4,220,900)</f>
        <v/>
      </c>
      <c r="T3267">
        <f>IMAGE("https://mitra.stanford.edu/kundaje/oak/projects/neuro-variants/variant_position/credible/roussos_2024/variant_figures/roussos_2024.infant.GLU/rs12109397_profile_position.png",4,220,900)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0.0065726449944</v>
      </c>
      <c r="G3268" t="n">
        <v>0.6697442242853803</v>
      </c>
      <c r="H3268" t="n">
        <v>0.009133684327810599</v>
      </c>
      <c r="I3268" t="n">
        <v>0.8034653258514851</v>
      </c>
      <c r="J3268" t="n">
        <v>0.0020227518243347</v>
      </c>
      <c r="K3268" t="n">
        <v>0.8419061293592573</v>
      </c>
      <c r="L3268" t="b">
        <v>0</v>
      </c>
      <c r="M3268" t="b">
        <v>0</v>
      </c>
      <c r="N3268" t="inlineStr">
        <is>
          <t>alt</t>
        </is>
      </c>
      <c r="O3268" t="n">
        <v>-30</v>
      </c>
      <c r="P3268" t="n">
        <v>0.006844</v>
      </c>
      <c r="Q3268" t="n">
        <v>45</v>
      </c>
      <c r="R3268" t="n">
        <v>0.02936</v>
      </c>
      <c r="S3268">
        <f>IMAGE("https://mitra.stanford.edu/kundaje/oak/projects/neuro-variants/variant_position/credible/roussos_2024/variant_figures/roussos_2024.infant.GLU/rs10070532_count_position.png",4,220,900)</f>
        <v/>
      </c>
      <c r="T3268">
        <f>IMAGE("https://mitra.stanford.edu/kundaje/oak/projects/neuro-variants/variant_position/credible/roussos_2024/variant_figures/roussos_2024.infant.GLU/rs10070532_profile_position.png",4,220,900)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0.00685148616</v>
      </c>
      <c r="G3269" t="n">
        <v>0.6303640231898219</v>
      </c>
      <c r="H3269" t="n">
        <v>0.0527629796272777</v>
      </c>
      <c r="I3269" t="n">
        <v>0.0060383593690975</v>
      </c>
      <c r="J3269" t="n">
        <v>0.0280330254194315</v>
      </c>
      <c r="K3269" t="n">
        <v>0.4665219815641075</v>
      </c>
      <c r="L3269" t="b">
        <v>1</v>
      </c>
      <c r="M3269" t="b">
        <v>0</v>
      </c>
      <c r="N3269" t="inlineStr">
        <is>
          <t>alt</t>
        </is>
      </c>
      <c r="O3269" t="n">
        <v>-70</v>
      </c>
      <c r="P3269" t="n">
        <v>0.093</v>
      </c>
      <c r="Q3269" t="n">
        <v>-85</v>
      </c>
      <c r="R3269" t="n">
        <v>0.11017</v>
      </c>
      <c r="S3269">
        <f>IMAGE("https://mitra.stanford.edu/kundaje/oak/projects/neuro-variants/variant_position/credible/roussos_2024/variant_figures/roussos_2024.infant.GLU/rs2939257_count_position.png",4,220,900)</f>
        <v/>
      </c>
      <c r="T3269">
        <f>IMAGE("https://mitra.stanford.edu/kundaje/oak/projects/neuro-variants/variant_position/credible/roussos_2024/variant_figures/roussos_2024.infant.GLU/rs2939257_profile_position.png",4,220,900)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0.0266119648</v>
      </c>
      <c r="G3270" t="n">
        <v>0.3503224315449557</v>
      </c>
      <c r="H3270" t="n">
        <v>0.013516079401206</v>
      </c>
      <c r="I3270" t="n">
        <v>0.4461062766772297</v>
      </c>
      <c r="J3270" t="n">
        <v>0.0552514385237769</v>
      </c>
      <c r="K3270" t="n">
        <v>0.326713742097351</v>
      </c>
      <c r="L3270" t="b">
        <v>0</v>
      </c>
      <c r="M3270" t="b">
        <v>0</v>
      </c>
      <c r="N3270" t="inlineStr">
        <is>
          <t>alt</t>
        </is>
      </c>
      <c r="O3270" t="n">
        <v>-85</v>
      </c>
      <c r="P3270" t="n">
        <v>0.03748</v>
      </c>
      <c r="Q3270" t="n">
        <v>100</v>
      </c>
      <c r="R3270" t="n">
        <v>0.198</v>
      </c>
      <c r="S3270">
        <f>IMAGE("https://mitra.stanford.edu/kundaje/oak/projects/neuro-variants/variant_position/credible/roussos_2024/variant_figures/roussos_2024.infant.GLU/rs2935244_count_position.png",4,220,900)</f>
        <v/>
      </c>
      <c r="T3270">
        <f>IMAGE("https://mitra.stanford.edu/kundaje/oak/projects/neuro-variants/variant_position/credible/roussos_2024/variant_figures/roussos_2024.infant.GLU/rs2935244_profile_position.png",4,220,900)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-0.01124451492</v>
      </c>
      <c r="G3271" t="n">
        <v>0.6111541070004394</v>
      </c>
      <c r="H3271" t="n">
        <v>0.0294843389549298</v>
      </c>
      <c r="I3271" t="n">
        <v>0.0607978811706737</v>
      </c>
      <c r="J3271" t="n">
        <v>0.0002623514627747</v>
      </c>
      <c r="K3271" t="n">
        <v>0.955859739601795</v>
      </c>
      <c r="L3271" t="b">
        <v>0</v>
      </c>
      <c r="M3271" t="b">
        <v>0</v>
      </c>
      <c r="N3271" t="inlineStr">
        <is>
          <t>ref</t>
        </is>
      </c>
      <c r="O3271" t="n">
        <v>75</v>
      </c>
      <c r="P3271" t="n">
        <v>0.008240000000000001</v>
      </c>
      <c r="Q3271" t="n">
        <v>70</v>
      </c>
      <c r="R3271" t="n">
        <v>0.1024</v>
      </c>
      <c r="S3271">
        <f>IMAGE("https://mitra.stanford.edu/kundaje/oak/projects/neuro-variants/variant_position/credible/roussos_2024/variant_figures/roussos_2024.infant.GLU/rs2973827_count_position.png",4,220,900)</f>
        <v/>
      </c>
      <c r="T3271">
        <f>IMAGE("https://mitra.stanford.edu/kundaje/oak/projects/neuro-variants/variant_position/credible/roussos_2024/variant_figures/roussos_2024.infant.GLU/rs2973827_profile_position.png",4,220,900)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0.020909925</v>
      </c>
      <c r="G3272" t="n">
        <v>0.3334542581635883</v>
      </c>
      <c r="H3272" t="n">
        <v>0.009910510320477701</v>
      </c>
      <c r="I3272" t="n">
        <v>0.7504010736916363</v>
      </c>
      <c r="J3272" t="n">
        <v>0.0053528516942613</v>
      </c>
      <c r="K3272" t="n">
        <v>0.7714332646486376</v>
      </c>
      <c r="L3272" t="b">
        <v>0</v>
      </c>
      <c r="M3272" t="b">
        <v>0</v>
      </c>
      <c r="N3272" t="inlineStr">
        <is>
          <t>alt</t>
        </is>
      </c>
      <c r="O3272" t="n">
        <v>-100</v>
      </c>
      <c r="P3272" t="n">
        <v>0.02873</v>
      </c>
      <c r="Q3272" t="n">
        <v>-20</v>
      </c>
      <c r="R3272" t="n">
        <v>0.01001</v>
      </c>
      <c r="S3272">
        <f>IMAGE("https://mitra.stanford.edu/kundaje/oak/projects/neuro-variants/variant_position/credible/roussos_2024/variant_figures/roussos_2024.infant.GLU/rs2939246_count_position.png",4,220,900)</f>
        <v/>
      </c>
      <c r="T3272">
        <f>IMAGE("https://mitra.stanford.edu/kundaje/oak/projects/neuro-variants/variant_position/credible/roussos_2024/variant_figures/roussos_2024.infant.GLU/rs2939246_profile_position.png",4,220,900)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-0.0303171136</v>
      </c>
      <c r="G3273" t="n">
        <v>0.3177517648807579</v>
      </c>
      <c r="H3273" t="n">
        <v>0.0630291935623065</v>
      </c>
      <c r="I3273" t="n">
        <v>0.0024029549943663</v>
      </c>
      <c r="J3273" t="n">
        <v>0.0007242223153067</v>
      </c>
      <c r="K3273" t="n">
        <v>0.9120344519222742</v>
      </c>
      <c r="L3273" t="b">
        <v>0</v>
      </c>
      <c r="M3273" t="b">
        <v>0</v>
      </c>
      <c r="N3273" t="inlineStr">
        <is>
          <t>ref</t>
        </is>
      </c>
      <c r="O3273" t="n">
        <v>35</v>
      </c>
      <c r="P3273" t="n">
        <v>0.00537</v>
      </c>
      <c r="Q3273" t="n">
        <v>-95</v>
      </c>
      <c r="R3273" t="n">
        <v>0.02719</v>
      </c>
      <c r="S3273">
        <f>IMAGE("https://mitra.stanford.edu/kundaje/oak/projects/neuro-variants/variant_position/credible/roussos_2024/variant_figures/roussos_2024.infant.GLU/rs2973829_count_position.png",4,220,900)</f>
        <v/>
      </c>
      <c r="T3273">
        <f>IMAGE("https://mitra.stanford.edu/kundaje/oak/projects/neuro-variants/variant_position/credible/roussos_2024/variant_figures/roussos_2024.infant.GLU/rs2973829_profile_position.png",4,220,900)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0.0878208234</v>
      </c>
      <c r="G3274" t="n">
        <v>0.0662918658484397</v>
      </c>
      <c r="H3274" t="n">
        <v>0.0181682994485587</v>
      </c>
      <c r="I3274" t="n">
        <v>0.2356129731475729</v>
      </c>
      <c r="J3274" t="n">
        <v>0.0838488502832954</v>
      </c>
      <c r="K3274" t="n">
        <v>0.2454893084596477</v>
      </c>
      <c r="L3274" t="b">
        <v>0</v>
      </c>
      <c r="M3274" t="b">
        <v>0</v>
      </c>
      <c r="N3274" t="inlineStr">
        <is>
          <t>alt</t>
        </is>
      </c>
      <c r="O3274" t="n">
        <v>-100</v>
      </c>
      <c r="P3274" t="n">
        <v>0.003113</v>
      </c>
      <c r="Q3274" t="n">
        <v>-50</v>
      </c>
      <c r="R3274" t="n">
        <v>0.07434</v>
      </c>
      <c r="S3274">
        <f>IMAGE("https://mitra.stanford.edu/kundaje/oak/projects/neuro-variants/variant_position/credible/roussos_2024/variant_figures/roussos_2024.infant.GLU/rs2973831_count_position.png",4,220,900)</f>
        <v/>
      </c>
      <c r="T3274">
        <f>IMAGE("https://mitra.stanford.edu/kundaje/oak/projects/neuro-variants/variant_position/credible/roussos_2024/variant_figures/roussos_2024.infant.GLU/rs2973831_profile_position.png",4,220,900)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-0.0155544423571999</v>
      </c>
      <c r="G3275" t="n">
        <v>0.5201862525691733</v>
      </c>
      <c r="H3275" t="n">
        <v>0.0163430281568891</v>
      </c>
      <c r="I3275" t="n">
        <v>0.3006058778970883</v>
      </c>
      <c r="J3275" t="n">
        <v>0.1265570228620559</v>
      </c>
      <c r="K3275" t="n">
        <v>0.1742763692150162</v>
      </c>
      <c r="L3275" t="b">
        <v>0</v>
      </c>
      <c r="M3275" t="b">
        <v>0</v>
      </c>
      <c r="N3275" t="inlineStr">
        <is>
          <t>ref</t>
        </is>
      </c>
      <c r="O3275" t="n">
        <v>-35</v>
      </c>
      <c r="P3275" t="n">
        <v>0.001526</v>
      </c>
      <c r="Q3275" t="n">
        <v>45</v>
      </c>
      <c r="R3275" t="n">
        <v>0.0993</v>
      </c>
      <c r="S3275">
        <f>IMAGE("https://mitra.stanford.edu/kundaje/oak/projects/neuro-variants/variant_position/credible/roussos_2024/variant_figures/roussos_2024.infant.GLU/rs9327836_count_position.png",4,220,900)</f>
        <v/>
      </c>
      <c r="T3275">
        <f>IMAGE("https://mitra.stanford.edu/kundaje/oak/projects/neuro-variants/variant_position/credible/roussos_2024/variant_figures/roussos_2024.infant.GLU/rs9327836_profile_position.png",4,220,900)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0.0658205318</v>
      </c>
      <c r="G3276" t="n">
        <v>0.1146735042987049</v>
      </c>
      <c r="H3276" t="n">
        <v>0.029141678418884</v>
      </c>
      <c r="I3276" t="n">
        <v>0.0643815435754905</v>
      </c>
      <c r="J3276" t="n">
        <v>0.0553848188893053</v>
      </c>
      <c r="K3276" t="n">
        <v>0.3309296971727997</v>
      </c>
      <c r="L3276" t="b">
        <v>0</v>
      </c>
      <c r="M3276" t="b">
        <v>0</v>
      </c>
      <c r="N3276" t="inlineStr">
        <is>
          <t>alt</t>
        </is>
      </c>
      <c r="O3276" t="n">
        <v>-100</v>
      </c>
      <c r="P3276" t="n">
        <v>0.007687</v>
      </c>
      <c r="Q3276" t="n">
        <v>90</v>
      </c>
      <c r="R3276" t="n">
        <v>0.08260000000000001</v>
      </c>
      <c r="S3276">
        <f>IMAGE("https://mitra.stanford.edu/kundaje/oak/projects/neuro-variants/variant_position/credible/roussos_2024/variant_figures/roussos_2024.infant.GLU/rs6884162_count_position.png",4,220,900)</f>
        <v/>
      </c>
      <c r="T3276">
        <f>IMAGE("https://mitra.stanford.edu/kundaje/oak/projects/neuro-variants/variant_position/credible/roussos_2024/variant_figures/roussos_2024.infant.GLU/rs6884162_profile_position.png",4,220,900)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0.0033404794399999</v>
      </c>
      <c r="G3277" t="n">
        <v>0.5191128222014397</v>
      </c>
      <c r="H3277" t="n">
        <v>0.0116115111166937</v>
      </c>
      <c r="I3277" t="n">
        <v>0.5840720265274613</v>
      </c>
      <c r="J3277" t="n">
        <v>0.0020866862144226</v>
      </c>
      <c r="K3277" t="n">
        <v>0.8539105546802439</v>
      </c>
      <c r="L3277" t="b">
        <v>0</v>
      </c>
      <c r="M3277" t="b">
        <v>0</v>
      </c>
      <c r="N3277" t="inlineStr">
        <is>
          <t>alt</t>
        </is>
      </c>
      <c r="O3277" t="n">
        <v>-45</v>
      </c>
      <c r="P3277" t="n">
        <v>0.02068</v>
      </c>
      <c r="Q3277" t="n">
        <v>60</v>
      </c>
      <c r="R3277" t="n">
        <v>0.0509</v>
      </c>
      <c r="S3277">
        <f>IMAGE("https://mitra.stanford.edu/kundaje/oak/projects/neuro-variants/variant_position/credible/roussos_2024/variant_figures/roussos_2024.infant.GLU/rs1452060_count_position.png",4,220,900)</f>
        <v/>
      </c>
      <c r="T3277">
        <f>IMAGE("https://mitra.stanford.edu/kundaje/oak/projects/neuro-variants/variant_position/credible/roussos_2024/variant_figures/roussos_2024.infant.GLU/rs1452060_profile_position.png",4,220,900)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-0.1176034258</v>
      </c>
      <c r="G3278" t="n">
        <v>0.0387737361725991</v>
      </c>
      <c r="H3278" t="n">
        <v>0.0247324700103176</v>
      </c>
      <c r="I3278" t="n">
        <v>0.1063843186776932</v>
      </c>
      <c r="J3278" t="n">
        <v>0.0215414801913622</v>
      </c>
      <c r="K3278" t="n">
        <v>0.5219344575774206</v>
      </c>
      <c r="L3278" t="b">
        <v>0</v>
      </c>
      <c r="M3278" t="b">
        <v>0</v>
      </c>
      <c r="N3278" t="inlineStr">
        <is>
          <t>ref</t>
        </is>
      </c>
      <c r="O3278" t="n">
        <v>-85</v>
      </c>
      <c r="P3278" t="n">
        <v>0.003159</v>
      </c>
      <c r="Q3278" t="n">
        <v>95</v>
      </c>
      <c r="R3278" t="n">
        <v>0.05188</v>
      </c>
      <c r="S3278">
        <f>IMAGE("https://mitra.stanford.edu/kundaje/oak/projects/neuro-variants/variant_position/credible/roussos_2024/variant_figures/roussos_2024.infant.GLU/rs1869103_count_position.png",4,220,900)</f>
        <v/>
      </c>
      <c r="T3278">
        <f>IMAGE("https://mitra.stanford.edu/kundaje/oak/projects/neuro-variants/variant_position/credible/roussos_2024/variant_figures/roussos_2024.infant.GLU/rs1869103_profile_position.png",4,220,900)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0.1473270299999999</v>
      </c>
      <c r="G3279" t="n">
        <v>0.0225988588422337</v>
      </c>
      <c r="H3279" t="n">
        <v>0.0246745739631087</v>
      </c>
      <c r="I3279" t="n">
        <v>0.1104804803758679</v>
      </c>
      <c r="J3279" t="n">
        <v>0.0331080932119314</v>
      </c>
      <c r="K3279" t="n">
        <v>0.4320356922969299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0.02478</v>
      </c>
      <c r="Q3279" t="n">
        <v>60</v>
      </c>
      <c r="R3279" t="n">
        <v>0.05505</v>
      </c>
      <c r="S3279">
        <f>IMAGE("https://mitra.stanford.edu/kundaje/oak/projects/neuro-variants/variant_position/credible/roussos_2024/variant_figures/roussos_2024.infant.GLU/rs10079075_count_position.png",4,220,900)</f>
        <v/>
      </c>
      <c r="T3279">
        <f>IMAGE("https://mitra.stanford.edu/kundaje/oak/projects/neuro-variants/variant_position/credible/roussos_2024/variant_figures/roussos_2024.infant.GLU/rs10079075_profile_position.png",4,220,900)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-0.0155516614</v>
      </c>
      <c r="G3280" t="n">
        <v>0.452038225752183</v>
      </c>
      <c r="H3280" t="n">
        <v>0.0120426475113263</v>
      </c>
      <c r="I3280" t="n">
        <v>0.555423800564359</v>
      </c>
      <c r="J3280" t="n">
        <v>0.0235223439670186</v>
      </c>
      <c r="K3280" t="n">
        <v>0.5028747879139269</v>
      </c>
      <c r="L3280" t="b">
        <v>0</v>
      </c>
      <c r="M3280" t="b">
        <v>0</v>
      </c>
      <c r="N3280" t="inlineStr">
        <is>
          <t>ref</t>
        </is>
      </c>
      <c r="O3280" t="n">
        <v>95</v>
      </c>
      <c r="P3280" t="n">
        <v>0.02136</v>
      </c>
      <c r="Q3280" t="n">
        <v>75</v>
      </c>
      <c r="R3280" t="n">
        <v>0.0694</v>
      </c>
      <c r="S3280">
        <f>IMAGE("https://mitra.stanford.edu/kundaje/oak/projects/neuro-variants/variant_position/credible/roussos_2024/variant_figures/roussos_2024.infant.GLU/rs1823693_count_position.png",4,220,900)</f>
        <v/>
      </c>
      <c r="T3280">
        <f>IMAGE("https://mitra.stanford.edu/kundaje/oak/projects/neuro-variants/variant_position/credible/roussos_2024/variant_figures/roussos_2024.infant.GLU/rs1823693_profile_position.png",4,220,900)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0.1158425547999999</v>
      </c>
      <c r="G3281" t="n">
        <v>0.0420101460467523</v>
      </c>
      <c r="H3281" t="n">
        <v>0.0248981924598649</v>
      </c>
      <c r="I3281" t="n">
        <v>0.1086959587573764</v>
      </c>
      <c r="J3281" t="n">
        <v>0.0083831213210167</v>
      </c>
      <c r="K3281" t="n">
        <v>0.7190399190169909</v>
      </c>
      <c r="L3281" t="b">
        <v>0</v>
      </c>
      <c r="M3281" t="b">
        <v>0</v>
      </c>
      <c r="N3281" t="inlineStr">
        <is>
          <t>alt</t>
        </is>
      </c>
      <c r="O3281" t="n">
        <v>0</v>
      </c>
      <c r="P3281" t="n">
        <v>0</v>
      </c>
      <c r="Q3281" t="n">
        <v>-85</v>
      </c>
      <c r="R3281" t="n">
        <v>0.0577</v>
      </c>
      <c r="S3281">
        <f>IMAGE("https://mitra.stanford.edu/kundaje/oak/projects/neuro-variants/variant_position/credible/roussos_2024/variant_figures/roussos_2024.infant.GLU/rs1901510_count_position.png",4,220,900)</f>
        <v/>
      </c>
      <c r="T3281">
        <f>IMAGE("https://mitra.stanford.edu/kundaje/oak/projects/neuro-variants/variant_position/credible/roussos_2024/variant_figures/roussos_2024.infant.GLU/rs1901510_profile_position.png",4,220,900)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-0.02273668406</v>
      </c>
      <c r="G3282" t="n">
        <v>0.3765541658554893</v>
      </c>
      <c r="H3282" t="n">
        <v>0.0281205581086718</v>
      </c>
      <c r="I3282" t="n">
        <v>0.07061032472240771</v>
      </c>
      <c r="J3282" t="n">
        <v>0.0511695584117815</v>
      </c>
      <c r="K3282" t="n">
        <v>0.3386230971515072</v>
      </c>
      <c r="L3282" t="b">
        <v>0</v>
      </c>
      <c r="M3282" t="b">
        <v>0</v>
      </c>
      <c r="N3282" t="inlineStr">
        <is>
          <t>ref</t>
        </is>
      </c>
      <c r="O3282" t="n">
        <v>-65</v>
      </c>
      <c r="P3282" t="n">
        <v>0.00554</v>
      </c>
      <c r="Q3282" t="n">
        <v>-20</v>
      </c>
      <c r="R3282" t="n">
        <v>0.01398</v>
      </c>
      <c r="S3282">
        <f>IMAGE("https://mitra.stanford.edu/kundaje/oak/projects/neuro-variants/variant_position/credible/roussos_2024/variant_figures/roussos_2024.infant.GLU/rs2198246_count_position.png",4,220,900)</f>
        <v/>
      </c>
      <c r="T3282">
        <f>IMAGE("https://mitra.stanford.edu/kundaje/oak/projects/neuro-variants/variant_position/credible/roussos_2024/variant_figures/roussos_2024.infant.GLU/rs2198246_profile_position.png",4,220,900)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0.074624644</v>
      </c>
      <c r="G3283" t="n">
        <v>0.0834574384660873</v>
      </c>
      <c r="H3283" t="n">
        <v>0.0163548945704678</v>
      </c>
      <c r="I3283" t="n">
        <v>0.2969612513250239</v>
      </c>
      <c r="J3283" t="n">
        <v>0.010985691924425</v>
      </c>
      <c r="K3283" t="n">
        <v>0.6551278776153594</v>
      </c>
      <c r="L3283" t="b">
        <v>0</v>
      </c>
      <c r="M3283" t="b">
        <v>0</v>
      </c>
      <c r="N3283" t="inlineStr">
        <is>
          <t>alt</t>
        </is>
      </c>
      <c r="O3283" t="n">
        <v>90</v>
      </c>
      <c r="P3283" t="n">
        <v>0.012146</v>
      </c>
      <c r="Q3283" t="n">
        <v>-60</v>
      </c>
      <c r="R3283" t="n">
        <v>0.03912</v>
      </c>
      <c r="S3283">
        <f>IMAGE("https://mitra.stanford.edu/kundaje/oak/projects/neuro-variants/variant_position/credible/roussos_2024/variant_figures/roussos_2024.infant.GLU/rs7718122_count_position.png",4,220,900)</f>
        <v/>
      </c>
      <c r="T3283">
        <f>IMAGE("https://mitra.stanford.edu/kundaje/oak/projects/neuro-variants/variant_position/credible/roussos_2024/variant_figures/roussos_2024.infant.GLU/rs7718122_profile_position.png",4,220,900)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-0.0560549657999999</v>
      </c>
      <c r="G3284" t="n">
        <v>0.1444224389640263</v>
      </c>
      <c r="H3284" t="n">
        <v>0.0111072817647358</v>
      </c>
      <c r="I3284" t="n">
        <v>0.6339086424986029</v>
      </c>
      <c r="J3284" t="n">
        <v>0.0021395974338058</v>
      </c>
      <c r="K3284" t="n">
        <v>0.8466545253674623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0.006554</v>
      </c>
      <c r="Q3284" t="n">
        <v>-30</v>
      </c>
      <c r="R3284" t="n">
        <v>0.03473</v>
      </c>
      <c r="S3284">
        <f>IMAGE("https://mitra.stanford.edu/kundaje/oak/projects/neuro-variants/variant_position/credible/roussos_2024/variant_figures/roussos_2024.infant.GLU/rs6861350_count_position.png",4,220,900)</f>
        <v/>
      </c>
      <c r="T3284">
        <f>IMAGE("https://mitra.stanford.edu/kundaje/oak/projects/neuro-variants/variant_position/credible/roussos_2024/variant_figures/roussos_2024.infant.GLU/rs6861350_profile_position.png",4,220,900)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-0.0252553894</v>
      </c>
      <c r="G3285" t="n">
        <v>0.3782765574674076</v>
      </c>
      <c r="H3285" t="n">
        <v>0.0623165349609281</v>
      </c>
      <c r="I3285" t="n">
        <v>0.0026105683746217</v>
      </c>
      <c r="J3285" t="n">
        <v>0.0133611852113141</v>
      </c>
      <c r="K3285" t="n">
        <v>0.6078382635059245</v>
      </c>
      <c r="L3285" t="b">
        <v>1</v>
      </c>
      <c r="M3285" t="b">
        <v>0</v>
      </c>
      <c r="N3285" t="inlineStr">
        <is>
          <t>ref</t>
        </is>
      </c>
      <c r="O3285" t="n">
        <v>90</v>
      </c>
      <c r="P3285" t="n">
        <v>0.10986</v>
      </c>
      <c r="Q3285" t="n">
        <v>90</v>
      </c>
      <c r="R3285" t="n">
        <v>0.074</v>
      </c>
      <c r="S3285">
        <f>IMAGE("https://mitra.stanford.edu/kundaje/oak/projects/neuro-variants/variant_position/credible/roussos_2024/variant_figures/roussos_2024.infant.GLU/rs1597766_count_position.png",4,220,900)</f>
        <v/>
      </c>
      <c r="T3285">
        <f>IMAGE("https://mitra.stanford.edu/kundaje/oak/projects/neuro-variants/variant_position/credible/roussos_2024/variant_figures/roussos_2024.infant.GLU/rs1597766_profile_position.png",4,220,900)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-0.0177702085999999</v>
      </c>
      <c r="G3286" t="n">
        <v>0.4857665435158978</v>
      </c>
      <c r="H3286" t="n">
        <v>0.0504934474800211</v>
      </c>
      <c r="I3286" t="n">
        <v>0.0072746065895646</v>
      </c>
      <c r="J3286" t="n">
        <v>0.0086917701007517</v>
      </c>
      <c r="K3286" t="n">
        <v>0.6803433772525016</v>
      </c>
      <c r="L3286" t="b">
        <v>0</v>
      </c>
      <c r="M3286" t="b">
        <v>0</v>
      </c>
      <c r="N3286" t="inlineStr">
        <is>
          <t>ref</t>
        </is>
      </c>
      <c r="O3286" t="n">
        <v>-35</v>
      </c>
      <c r="P3286" t="n">
        <v>0.02278</v>
      </c>
      <c r="Q3286" t="n">
        <v>-100</v>
      </c>
      <c r="R3286" t="n">
        <v>0.2231</v>
      </c>
      <c r="S3286">
        <f>IMAGE("https://mitra.stanford.edu/kundaje/oak/projects/neuro-variants/variant_position/credible/roussos_2024/variant_figures/roussos_2024.infant.GLU/rs10041806_count_position.png",4,220,900)</f>
        <v/>
      </c>
      <c r="T3286">
        <f>IMAGE("https://mitra.stanford.edu/kundaje/oak/projects/neuro-variants/variant_position/credible/roussos_2024/variant_figures/roussos_2024.infant.GLU/rs10041806_profile_position.png",4,220,900)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-0.009459936659999999</v>
      </c>
      <c r="G3287" t="n">
        <v>0.6536770549151475</v>
      </c>
      <c r="H3287" t="n">
        <v>0.0382033083823406</v>
      </c>
      <c r="I3287" t="n">
        <v>0.0244745829619733</v>
      </c>
      <c r="J3287" t="n">
        <v>0.0211170881192265</v>
      </c>
      <c r="K3287" t="n">
        <v>0.5269498181715253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0.007812</v>
      </c>
      <c r="Q3287" t="n">
        <v>-5</v>
      </c>
      <c r="R3287" t="n">
        <v>0.006042</v>
      </c>
      <c r="S3287">
        <f>IMAGE("https://mitra.stanford.edu/kundaje/oak/projects/neuro-variants/variant_position/credible/roussos_2024/variant_figures/roussos_2024.infant.GLU/rs9327850_count_position.png",4,220,900)</f>
        <v/>
      </c>
      <c r="T3287">
        <f>IMAGE("https://mitra.stanford.edu/kundaje/oak/projects/neuro-variants/variant_position/credible/roussos_2024/variant_figures/roussos_2024.infant.GLU/rs9327850_profile_position.png",4,220,900)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-0.0303367624</v>
      </c>
      <c r="G3288" t="n">
        <v>0.3237700256515821</v>
      </c>
      <c r="H3288" t="n">
        <v>0.0085329863455885</v>
      </c>
      <c r="I3288" t="n">
        <v>0.8594479459464944</v>
      </c>
      <c r="J3288" t="n">
        <v>0.0057915738883132</v>
      </c>
      <c r="K3288" t="n">
        <v>0.7424797472182798</v>
      </c>
      <c r="L3288" t="b">
        <v>0</v>
      </c>
      <c r="M3288" t="b">
        <v>0</v>
      </c>
      <c r="N3288" t="inlineStr">
        <is>
          <t>ref</t>
        </is>
      </c>
      <c r="O3288" t="n">
        <v>50</v>
      </c>
      <c r="P3288" t="n">
        <v>0.00676</v>
      </c>
      <c r="Q3288" t="n">
        <v>-80</v>
      </c>
      <c r="R3288" t="n">
        <v>0.03683</v>
      </c>
      <c r="S3288">
        <f>IMAGE("https://mitra.stanford.edu/kundaje/oak/projects/neuro-variants/variant_position/credible/roussos_2024/variant_figures/roussos_2024.infant.GLU/rs9327851_count_position.png",4,220,900)</f>
        <v/>
      </c>
      <c r="T3288">
        <f>IMAGE("https://mitra.stanford.edu/kundaje/oak/projects/neuro-variants/variant_position/credible/roussos_2024/variant_figures/roussos_2024.infant.GLU/rs9327851_profile_position.png",4,220,900)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0.0489834698</v>
      </c>
      <c r="G3289" t="n">
        <v>0.1660485799933529</v>
      </c>
      <c r="H3289" t="n">
        <v>0.0711479946122099</v>
      </c>
      <c r="I3289" t="n">
        <v>0.001262864379749</v>
      </c>
      <c r="J3289" t="n">
        <v>0.0053142705967944</v>
      </c>
      <c r="K3289" t="n">
        <v>0.7449501857745467</v>
      </c>
      <c r="L3289" t="b">
        <v>0</v>
      </c>
      <c r="M3289" t="b">
        <v>0</v>
      </c>
      <c r="N3289" t="inlineStr">
        <is>
          <t>alt</t>
        </is>
      </c>
      <c r="O3289" t="n">
        <v>45</v>
      </c>
      <c r="P3289" t="n">
        <v>0.01233</v>
      </c>
      <c r="Q3289" t="n">
        <v>-45</v>
      </c>
      <c r="R3289" t="n">
        <v>0.0116</v>
      </c>
      <c r="S3289">
        <f>IMAGE("https://mitra.stanford.edu/kundaje/oak/projects/neuro-variants/variant_position/credible/roussos_2024/variant_figures/roussos_2024.infant.GLU/rs6874612_count_position.png",4,220,900)</f>
        <v/>
      </c>
      <c r="T3289">
        <f>IMAGE("https://mitra.stanford.edu/kundaje/oak/projects/neuro-variants/variant_position/credible/roussos_2024/variant_figures/roussos_2024.infant.GLU/rs6874612_profile_position.png",4,220,900)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-0.0533965406</v>
      </c>
      <c r="G3290" t="n">
        <v>0.1682064022800372</v>
      </c>
      <c r="H3290" t="n">
        <v>0.0438571756215705</v>
      </c>
      <c r="I3290" t="n">
        <v>0.0137559366081505</v>
      </c>
      <c r="J3290" t="n">
        <v>0.0254062038404726</v>
      </c>
      <c r="K3290" t="n">
        <v>0.5000974058817581</v>
      </c>
      <c r="L3290" t="b">
        <v>1</v>
      </c>
      <c r="M3290" t="b">
        <v>0</v>
      </c>
      <c r="N3290" t="inlineStr">
        <is>
          <t>ref</t>
        </is>
      </c>
      <c r="O3290" t="n">
        <v>60</v>
      </c>
      <c r="P3290" t="n">
        <v>0.01544</v>
      </c>
      <c r="Q3290" t="n">
        <v>55</v>
      </c>
      <c r="R3290" t="n">
        <v>0.03186</v>
      </c>
      <c r="S3290">
        <f>IMAGE("https://mitra.stanford.edu/kundaje/oak/projects/neuro-variants/variant_position/credible/roussos_2024/variant_figures/roussos_2024.infant.GLU/rs9285946_count_position.png",4,220,900)</f>
        <v/>
      </c>
      <c r="T3290">
        <f>IMAGE("https://mitra.stanford.edu/kundaje/oak/projects/neuro-variants/variant_position/credible/roussos_2024/variant_figures/roussos_2024.infant.GLU/rs9285946_profile_position.png",4,220,900)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-0.023771708</v>
      </c>
      <c r="G3291" t="n">
        <v>0.3965907687009944</v>
      </c>
      <c r="H3291" t="n">
        <v>0.0515047652067726</v>
      </c>
      <c r="I3291" t="n">
        <v>0.006775797969297</v>
      </c>
      <c r="J3291" t="n">
        <v>0.045144293304526</v>
      </c>
      <c r="K3291" t="n">
        <v>0.3835811506643137</v>
      </c>
      <c r="L3291" t="b">
        <v>1</v>
      </c>
      <c r="M3291" t="b">
        <v>0</v>
      </c>
      <c r="N3291" t="inlineStr">
        <is>
          <t>ref</t>
        </is>
      </c>
      <c r="O3291" t="n">
        <v>-50</v>
      </c>
      <c r="P3291" t="n">
        <v>0.00772</v>
      </c>
      <c r="Q3291" t="n">
        <v>-20</v>
      </c>
      <c r="R3291" t="n">
        <v>0.03058</v>
      </c>
      <c r="S3291">
        <f>IMAGE("https://mitra.stanford.edu/kundaje/oak/projects/neuro-variants/variant_position/credible/roussos_2024/variant_figures/roussos_2024.infant.GLU/rs7721084_count_position.png",4,220,900)</f>
        <v/>
      </c>
      <c r="T3291">
        <f>IMAGE("https://mitra.stanford.edu/kundaje/oak/projects/neuro-variants/variant_position/credible/roussos_2024/variant_figures/roussos_2024.infant.GLU/rs7721084_profile_position.png",4,220,900)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0.156633506</v>
      </c>
      <c r="G3292" t="n">
        <v>0.0188501900416513</v>
      </c>
      <c r="H3292" t="n">
        <v>0.039485655133617</v>
      </c>
      <c r="I3292" t="n">
        <v>0.0215631576869773</v>
      </c>
      <c r="J3292" t="n">
        <v>0.1045746158425009</v>
      </c>
      <c r="K3292" t="n">
        <v>0.202688800242715</v>
      </c>
      <c r="L3292" t="b">
        <v>1</v>
      </c>
      <c r="M3292" t="b">
        <v>0</v>
      </c>
      <c r="N3292" t="inlineStr">
        <is>
          <t>alt</t>
        </is>
      </c>
      <c r="O3292" t="n">
        <v>-75</v>
      </c>
      <c r="P3292" t="n">
        <v>0.02954</v>
      </c>
      <c r="Q3292" t="n">
        <v>-30</v>
      </c>
      <c r="R3292" t="n">
        <v>0.03662</v>
      </c>
      <c r="S3292">
        <f>IMAGE("https://mitra.stanford.edu/kundaje/oak/projects/neuro-variants/variant_position/credible/roussos_2024/variant_figures/roussos_2024.infant.GLU/rs10057126_count_position.png",4,220,900)</f>
        <v/>
      </c>
      <c r="T3292">
        <f>IMAGE("https://mitra.stanford.edu/kundaje/oak/projects/neuro-variants/variant_position/credible/roussos_2024/variant_figures/roussos_2024.infant.GLU/rs10057126_profile_position.png",4,220,900)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0.0167440864</v>
      </c>
      <c r="G3293" t="n">
        <v>0.488281432623914</v>
      </c>
      <c r="H3293" t="n">
        <v>0.0078731445459183</v>
      </c>
      <c r="I3293" t="n">
        <v>0.8998425087245373</v>
      </c>
      <c r="J3293" t="n">
        <v>0.0247933155492845</v>
      </c>
      <c r="K3293" t="n">
        <v>0.4996780400220501</v>
      </c>
      <c r="L3293" t="b">
        <v>0</v>
      </c>
      <c r="M3293" t="b">
        <v>0</v>
      </c>
      <c r="N3293" t="inlineStr">
        <is>
          <t>alt</t>
        </is>
      </c>
      <c r="O3293" t="n">
        <v>-80</v>
      </c>
      <c r="P3293" t="n">
        <v>0.01203</v>
      </c>
      <c r="Q3293" t="n">
        <v>-100</v>
      </c>
      <c r="R3293" t="n">
        <v>0.136</v>
      </c>
      <c r="S3293">
        <f>IMAGE("https://mitra.stanford.edu/kundaje/oak/projects/neuro-variants/variant_position/credible/roussos_2024/variant_figures/roussos_2024.infant.GLU/rs1901522_count_position.png",4,220,900)</f>
        <v/>
      </c>
      <c r="T3293">
        <f>IMAGE("https://mitra.stanford.edu/kundaje/oak/projects/neuro-variants/variant_position/credible/roussos_2024/variant_figures/roussos_2024.infant.GLU/rs1901522_profile_position.png",4,220,900)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0.0038422771999999</v>
      </c>
      <c r="G3294" t="n">
        <v>0.3141176494165097</v>
      </c>
      <c r="H3294" t="n">
        <v>0.014662144041539</v>
      </c>
      <c r="I3294" t="n">
        <v>0.389109867284434</v>
      </c>
      <c r="J3294" t="n">
        <v>0.0910458784364734</v>
      </c>
      <c r="K3294" t="n">
        <v>0.2278732726719317</v>
      </c>
      <c r="L3294" t="b">
        <v>0</v>
      </c>
      <c r="M3294" t="b">
        <v>0</v>
      </c>
      <c r="N3294" t="inlineStr">
        <is>
          <t>alt</t>
        </is>
      </c>
      <c r="O3294" t="n">
        <v>65</v>
      </c>
      <c r="P3294" t="n">
        <v>0.0496</v>
      </c>
      <c r="Q3294" t="n">
        <v>-20</v>
      </c>
      <c r="R3294" t="n">
        <v>0.0696</v>
      </c>
      <c r="S3294">
        <f>IMAGE("https://mitra.stanford.edu/kundaje/oak/projects/neuro-variants/variant_position/credible/roussos_2024/variant_figures/roussos_2024.infant.GLU/rs2060834_count_position.png",4,220,900)</f>
        <v/>
      </c>
      <c r="T3294">
        <f>IMAGE("https://mitra.stanford.edu/kundaje/oak/projects/neuro-variants/variant_position/credible/roussos_2024/variant_figures/roussos_2024.infant.GLU/rs2060834_profile_position.png",4,220,900)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0.102515526</v>
      </c>
      <c r="G3295" t="n">
        <v>0.063402568204747</v>
      </c>
      <c r="H3295" t="n">
        <v>0.020800679691276</v>
      </c>
      <c r="I3295" t="n">
        <v>0.1819847625626089</v>
      </c>
      <c r="J3295" t="n">
        <v>0.0152009524019488</v>
      </c>
      <c r="K3295" t="n">
        <v>0.587050440039655</v>
      </c>
      <c r="L3295" t="b">
        <v>0</v>
      </c>
      <c r="M3295" t="b">
        <v>0</v>
      </c>
      <c r="N3295" t="inlineStr">
        <is>
          <t>alt</t>
        </is>
      </c>
      <c r="O3295" t="n">
        <v>100</v>
      </c>
      <c r="P3295" t="n">
        <v>0.015594</v>
      </c>
      <c r="Q3295" t="n">
        <v>85</v>
      </c>
      <c r="R3295" t="n">
        <v>0.01526</v>
      </c>
      <c r="S3295">
        <f>IMAGE("https://mitra.stanford.edu/kundaje/oak/projects/neuro-variants/variant_position/credible/roussos_2024/variant_figures/roussos_2024.infant.GLU/rs9986226_count_position.png",4,220,900)</f>
        <v/>
      </c>
      <c r="T3295">
        <f>IMAGE("https://mitra.stanford.edu/kundaje/oak/projects/neuro-variants/variant_position/credible/roussos_2024/variant_figures/roussos_2024.infant.GLU/rs9986226_profile_position.png",4,220,900)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-0.0206954002</v>
      </c>
      <c r="G3296" t="n">
        <v>0.4363466087634688</v>
      </c>
      <c r="H3296" t="n">
        <v>0.0339604289079051</v>
      </c>
      <c r="I3296" t="n">
        <v>0.0376471805457525</v>
      </c>
      <c r="J3296" t="n">
        <v>0.0323750523600608</v>
      </c>
      <c r="K3296" t="n">
        <v>0.4433023213687538</v>
      </c>
      <c r="L3296" t="b">
        <v>0</v>
      </c>
      <c r="M3296" t="b">
        <v>0</v>
      </c>
      <c r="N3296" t="inlineStr">
        <is>
          <t>ref</t>
        </is>
      </c>
      <c r="O3296" t="n">
        <v>-100</v>
      </c>
      <c r="P3296" t="n">
        <v>0.02087</v>
      </c>
      <c r="Q3296" t="n">
        <v>40</v>
      </c>
      <c r="R3296" t="n">
        <v>0.02393</v>
      </c>
      <c r="S3296">
        <f>IMAGE("https://mitra.stanford.edu/kundaje/oak/projects/neuro-variants/variant_position/credible/roussos_2024/variant_figures/roussos_2024.infant.GLU/rs1597770_count_position.png",4,220,900)</f>
        <v/>
      </c>
      <c r="T3296">
        <f>IMAGE("https://mitra.stanford.edu/kundaje/oak/projects/neuro-variants/variant_position/credible/roussos_2024/variant_figures/roussos_2024.infant.GLU/rs1597770_profile_position.png",4,220,900)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0.0274302148</v>
      </c>
      <c r="G3297" t="n">
        <v>0.3405893357122095</v>
      </c>
      <c r="H3297" t="n">
        <v>0.0305399381623243</v>
      </c>
      <c r="I3297" t="n">
        <v>0.0542856683826291</v>
      </c>
      <c r="J3297" t="n">
        <v>0.0231629886020414</v>
      </c>
      <c r="K3297" t="n">
        <v>0.507146060261525</v>
      </c>
      <c r="L3297" t="b">
        <v>0</v>
      </c>
      <c r="M3297" t="b">
        <v>0</v>
      </c>
      <c r="N3297" t="inlineStr">
        <is>
          <t>alt</t>
        </is>
      </c>
      <c r="O3297" t="n">
        <v>-65</v>
      </c>
      <c r="P3297" t="n">
        <v>0.0296</v>
      </c>
      <c r="Q3297" t="n">
        <v>-60</v>
      </c>
      <c r="R3297" t="n">
        <v>0.0227</v>
      </c>
      <c r="S3297">
        <f>IMAGE("https://mitra.stanford.edu/kundaje/oak/projects/neuro-variants/variant_position/credible/roussos_2024/variant_figures/roussos_2024.infant.GLU/rs1470794_count_position.png",4,220,900)</f>
        <v/>
      </c>
      <c r="T3297">
        <f>IMAGE("https://mitra.stanford.edu/kundaje/oak/projects/neuro-variants/variant_position/credible/roussos_2024/variant_figures/roussos_2024.infant.GLU/rs1470794_profile_position.png",4,220,900)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-0.0154931409999999</v>
      </c>
      <c r="G3298" t="n">
        <v>0.5299845171218899</v>
      </c>
      <c r="H3298" t="n">
        <v>0.012047171810023</v>
      </c>
      <c r="I3298" t="n">
        <v>0.5542077545498529</v>
      </c>
      <c r="J3298" t="n">
        <v>0.1085650036376462</v>
      </c>
      <c r="K3298" t="n">
        <v>0.197347060501424</v>
      </c>
      <c r="L3298" t="b">
        <v>0</v>
      </c>
      <c r="M3298" t="b">
        <v>0</v>
      </c>
      <c r="N3298" t="inlineStr">
        <is>
          <t>ref</t>
        </is>
      </c>
      <c r="O3298" t="n">
        <v>-90</v>
      </c>
      <c r="P3298" t="n">
        <v>0.006866</v>
      </c>
      <c r="Q3298" t="n">
        <v>-80</v>
      </c>
      <c r="R3298" t="n">
        <v>0.1124</v>
      </c>
      <c r="S3298">
        <f>IMAGE("https://mitra.stanford.edu/kundaje/oak/projects/neuro-variants/variant_position/credible/roussos_2024/variant_figures/roussos_2024.infant.GLU/rs6878326_count_position.png",4,220,900)</f>
        <v/>
      </c>
      <c r="T3298">
        <f>IMAGE("https://mitra.stanford.edu/kundaje/oak/projects/neuro-variants/variant_position/credible/roussos_2024/variant_figures/roussos_2024.infant.GLU/rs6878326_profile_position.png",4,220,900)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-0.0112119850999999</v>
      </c>
      <c r="G3299" t="n">
        <v>0.4178103854090166</v>
      </c>
      <c r="H3299" t="n">
        <v>0.0176283768849518</v>
      </c>
      <c r="I3299" t="n">
        <v>0.2499731882032123</v>
      </c>
      <c r="J3299" t="n">
        <v>0.0389217134416543</v>
      </c>
      <c r="K3299" t="n">
        <v>0.3994870166720187</v>
      </c>
      <c r="L3299" t="b">
        <v>0</v>
      </c>
      <c r="M3299" t="b">
        <v>0</v>
      </c>
      <c r="N3299" t="inlineStr">
        <is>
          <t>ref</t>
        </is>
      </c>
      <c r="O3299" t="n">
        <v>15</v>
      </c>
      <c r="P3299" t="n">
        <v>0.00534</v>
      </c>
      <c r="Q3299" t="n">
        <v>-20</v>
      </c>
      <c r="R3299" t="n">
        <v>0.006348</v>
      </c>
      <c r="S3299">
        <f>IMAGE("https://mitra.stanford.edu/kundaje/oak/projects/neuro-variants/variant_position/credible/roussos_2024/variant_figures/roussos_2024.infant.GLU/rs4413509_count_position.png",4,220,900)</f>
        <v/>
      </c>
      <c r="T3299">
        <f>IMAGE("https://mitra.stanford.edu/kundaje/oak/projects/neuro-variants/variant_position/credible/roussos_2024/variant_figures/roussos_2024.infant.GLU/rs4413509_profile_position.png",4,220,900)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-0.1284661762</v>
      </c>
      <c r="G3300" t="n">
        <v>0.0298436158477247</v>
      </c>
      <c r="H3300" t="n">
        <v>0.0160089844143365</v>
      </c>
      <c r="I3300" t="n">
        <v>0.3161424381425765</v>
      </c>
      <c r="J3300" t="n">
        <v>0.028994245904892</v>
      </c>
      <c r="K3300" t="n">
        <v>0.4718760132694478</v>
      </c>
      <c r="L3300" t="b">
        <v>0</v>
      </c>
      <c r="M3300" t="b">
        <v>0</v>
      </c>
      <c r="N3300" t="inlineStr">
        <is>
          <t>ref</t>
        </is>
      </c>
      <c r="O3300" t="n">
        <v>-30</v>
      </c>
      <c r="P3300" t="n">
        <v>0.002983</v>
      </c>
      <c r="Q3300" t="n">
        <v>25</v>
      </c>
      <c r="R3300" t="n">
        <v>0.02332</v>
      </c>
      <c r="S3300">
        <f>IMAGE("https://mitra.stanford.edu/kundaje/oak/projects/neuro-variants/variant_position/credible/roussos_2024/variant_figures/roussos_2024.infant.GLU/rs9765316_count_position.png",4,220,900)</f>
        <v/>
      </c>
      <c r="T3300">
        <f>IMAGE("https://mitra.stanford.edu/kundaje/oak/projects/neuro-variants/variant_position/credible/roussos_2024/variant_figures/roussos_2024.infant.GLU/rs9765316_profile_position.png",4,220,900)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0.0120274808</v>
      </c>
      <c r="G3301" t="n">
        <v>0.50357812245817</v>
      </c>
      <c r="H3301" t="n">
        <v>0.0109210186284465</v>
      </c>
      <c r="I3301" t="n">
        <v>0.6167393731259296</v>
      </c>
      <c r="J3301" t="n">
        <v>0.0117407791177053</v>
      </c>
      <c r="K3301" t="n">
        <v>0.6330788897512316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0.07000000000000001</v>
      </c>
      <c r="Q3301" t="n">
        <v>-25</v>
      </c>
      <c r="R3301" t="n">
        <v>0.03665</v>
      </c>
      <c r="S3301">
        <f>IMAGE("https://mitra.stanford.edu/kundaje/oak/projects/neuro-variants/variant_position/credible/roussos_2024/variant_figures/roussos_2024.infant.GLU/rs10038801_count_position.png",4,220,900)</f>
        <v/>
      </c>
      <c r="T3301">
        <f>IMAGE("https://mitra.stanford.edu/kundaje/oak/projects/neuro-variants/variant_position/credible/roussos_2024/variant_figures/roussos_2024.infant.GLU/rs10038801_profile_position.png",4,220,900)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0.1908775813999999</v>
      </c>
      <c r="G3302" t="n">
        <v>0.0154927367418353</v>
      </c>
      <c r="H3302" t="n">
        <v>0.0266112477206963</v>
      </c>
      <c r="I3302" t="n">
        <v>0.09264102689165681</v>
      </c>
      <c r="J3302" t="n">
        <v>0.009287021318812099</v>
      </c>
      <c r="K3302" t="n">
        <v>0.7077675831546157</v>
      </c>
      <c r="L3302" t="b">
        <v>1</v>
      </c>
      <c r="M3302" t="b">
        <v>0</v>
      </c>
      <c r="N3302" t="inlineStr">
        <is>
          <t>alt</t>
        </is>
      </c>
      <c r="O3302" t="n">
        <v>-100</v>
      </c>
      <c r="P3302" t="n">
        <v>0.01968</v>
      </c>
      <c r="Q3302" t="n">
        <v>60</v>
      </c>
      <c r="R3302" t="n">
        <v>0.05975</v>
      </c>
      <c r="S3302">
        <f>IMAGE("https://mitra.stanford.edu/kundaje/oak/projects/neuro-variants/variant_position/credible/roussos_2024/variant_figures/roussos_2024.infant.GLU/rs6872341_count_position.png",4,220,900)</f>
        <v/>
      </c>
      <c r="T3302">
        <f>IMAGE("https://mitra.stanford.edu/kundaje/oak/projects/neuro-variants/variant_position/credible/roussos_2024/variant_figures/roussos_2024.infant.GLU/rs6872341_profile_position.png",4,220,900)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-0.0179342171</v>
      </c>
      <c r="G3303" t="n">
        <v>0.4898600877555643</v>
      </c>
      <c r="H3303" t="n">
        <v>0.0158818128960206</v>
      </c>
      <c r="I3303" t="n">
        <v>0.320427291421483</v>
      </c>
      <c r="J3303" t="n">
        <v>0.08410017857536529</v>
      </c>
      <c r="K3303" t="n">
        <v>0.2349584914156741</v>
      </c>
      <c r="L3303" t="b">
        <v>0</v>
      </c>
      <c r="M3303" t="b">
        <v>0</v>
      </c>
      <c r="N3303" t="inlineStr">
        <is>
          <t>ref</t>
        </is>
      </c>
      <c r="O3303" t="n">
        <v>80</v>
      </c>
      <c r="P3303" t="n">
        <v>0.01129</v>
      </c>
      <c r="Q3303" t="n">
        <v>100</v>
      </c>
      <c r="R3303" t="n">
        <v>0.01758</v>
      </c>
      <c r="S3303">
        <f>IMAGE("https://mitra.stanford.edu/kundaje/oak/projects/neuro-variants/variant_position/credible/roussos_2024/variant_figures/roussos_2024.infant.GLU/rs1376909_count_position.png",4,220,900)</f>
        <v/>
      </c>
      <c r="T3303">
        <f>IMAGE("https://mitra.stanford.edu/kundaje/oak/projects/neuro-variants/variant_position/credible/roussos_2024/variant_figures/roussos_2024.infant.GLU/rs1376909_profile_position.png",4,220,900)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0.00417685858</v>
      </c>
      <c r="G3304" t="n">
        <v>0.6807555248047438</v>
      </c>
      <c r="H3304" t="n">
        <v>0.0070177533093549</v>
      </c>
      <c r="I3304" t="n">
        <v>0.9551778199488692</v>
      </c>
      <c r="J3304" t="n">
        <v>0.0417116779470446</v>
      </c>
      <c r="K3304" t="n">
        <v>0.377339562722151</v>
      </c>
      <c r="L3304" t="b">
        <v>0</v>
      </c>
      <c r="M3304" t="b">
        <v>0</v>
      </c>
      <c r="N3304" t="inlineStr">
        <is>
          <t>alt</t>
        </is>
      </c>
      <c r="O3304" t="n">
        <v>-60</v>
      </c>
      <c r="P3304" t="n">
        <v>0.1099</v>
      </c>
      <c r="Q3304" t="n">
        <v>85</v>
      </c>
      <c r="R3304" t="n">
        <v>0.1179</v>
      </c>
      <c r="S3304">
        <f>IMAGE("https://mitra.stanford.edu/kundaje/oak/projects/neuro-variants/variant_position/credible/roussos_2024/variant_figures/roussos_2024.infant.GLU/rs7724920_count_position.png",4,220,900)</f>
        <v/>
      </c>
      <c r="T3304">
        <f>IMAGE("https://mitra.stanford.edu/kundaje/oak/projects/neuro-variants/variant_position/credible/roussos_2024/variant_figures/roussos_2024.infant.GLU/rs7724920_profile_position.png",4,220,900)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0.0412742174</v>
      </c>
      <c r="G3305" t="n">
        <v>0.1988094684420923</v>
      </c>
      <c r="H3305" t="n">
        <v>0.0226782605128319</v>
      </c>
      <c r="I3305" t="n">
        <v>0.131738816214772</v>
      </c>
      <c r="J3305" t="n">
        <v>0.0377279040543221</v>
      </c>
      <c r="K3305" t="n">
        <v>0.4087190042849239</v>
      </c>
      <c r="L3305" t="b">
        <v>0</v>
      </c>
      <c r="M3305" t="b">
        <v>0</v>
      </c>
      <c r="N3305" t="inlineStr">
        <is>
          <t>alt</t>
        </is>
      </c>
      <c r="O3305" t="n">
        <v>-100</v>
      </c>
      <c r="P3305" t="n">
        <v>0.02054</v>
      </c>
      <c r="Q3305" t="n">
        <v>100</v>
      </c>
      <c r="R3305" t="n">
        <v>0.0626</v>
      </c>
      <c r="S3305">
        <f>IMAGE("https://mitra.stanford.edu/kundaje/oak/projects/neuro-variants/variant_position/credible/roussos_2024/variant_figures/roussos_2024.infant.GLU/rs2400797_count_position.png",4,220,900)</f>
        <v/>
      </c>
      <c r="T3305">
        <f>IMAGE("https://mitra.stanford.edu/kundaje/oak/projects/neuro-variants/variant_position/credible/roussos_2024/variant_figures/roussos_2024.infant.GLU/rs2400797_profile_position.png",4,220,900)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0.058037572</v>
      </c>
      <c r="G3306" t="n">
        <v>0.134359863552724</v>
      </c>
      <c r="H3306" t="n">
        <v>0.0406471697024382</v>
      </c>
      <c r="I3306" t="n">
        <v>0.0189191556309304</v>
      </c>
      <c r="J3306" t="n">
        <v>0.0263707312771445</v>
      </c>
      <c r="K3306" t="n">
        <v>0.4766315266144212</v>
      </c>
      <c r="L3306" t="b">
        <v>1</v>
      </c>
      <c r="M3306" t="b">
        <v>0</v>
      </c>
      <c r="N3306" t="inlineStr">
        <is>
          <t>alt</t>
        </is>
      </c>
      <c r="O3306" t="n">
        <v>-70</v>
      </c>
      <c r="P3306" t="n">
        <v>0.002136</v>
      </c>
      <c r="Q3306" t="n">
        <v>-45</v>
      </c>
      <c r="R3306" t="n">
        <v>0.0829</v>
      </c>
      <c r="S3306">
        <f>IMAGE("https://mitra.stanford.edu/kundaje/oak/projects/neuro-variants/variant_position/credible/roussos_2024/variant_figures/roussos_2024.infant.GLU/rs2400799_count_position.png",4,220,900)</f>
        <v/>
      </c>
      <c r="T3306">
        <f>IMAGE("https://mitra.stanford.edu/kundaje/oak/projects/neuro-variants/variant_position/credible/roussos_2024/variant_figures/roussos_2024.infant.GLU/rs2400799_profile_position.png",4,220,900)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0.0154505858</v>
      </c>
      <c r="G3307" t="n">
        <v>0.5147869838095852</v>
      </c>
      <c r="H3307" t="n">
        <v>0.0416825670276323</v>
      </c>
      <c r="I3307" t="n">
        <v>0.0172212672462764</v>
      </c>
      <c r="J3307" t="n">
        <v>0.0052040388897461</v>
      </c>
      <c r="K3307" t="n">
        <v>0.7443718187427105</v>
      </c>
      <c r="L3307" t="b">
        <v>0</v>
      </c>
      <c r="M3307" t="b">
        <v>0</v>
      </c>
      <c r="N3307" t="inlineStr">
        <is>
          <t>alt</t>
        </is>
      </c>
      <c r="O3307" t="n">
        <v>100</v>
      </c>
      <c r="P3307" t="n">
        <v>0.001408</v>
      </c>
      <c r="Q3307" t="n">
        <v>100</v>
      </c>
      <c r="R3307" t="n">
        <v>0.0539</v>
      </c>
      <c r="S3307">
        <f>IMAGE("https://mitra.stanford.edu/kundaje/oak/projects/neuro-variants/variant_position/credible/roussos_2024/variant_figures/roussos_2024.infant.GLU/rs58080162_count_position.png",4,220,900)</f>
        <v/>
      </c>
      <c r="T3307">
        <f>IMAGE("https://mitra.stanford.edu/kundaje/oak/projects/neuro-variants/variant_position/credible/roussos_2024/variant_figures/roussos_2024.infant.GLU/rs58080162_profile_position.png",4,220,900)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-0.0434701338</v>
      </c>
      <c r="G3308" t="n">
        <v>0.2194802189636311</v>
      </c>
      <c r="H3308" t="n">
        <v>0.0133927313853746</v>
      </c>
      <c r="I3308" t="n">
        <v>0.4573375884181999</v>
      </c>
      <c r="J3308" t="n">
        <v>0.0038658259661808</v>
      </c>
      <c r="K3308" t="n">
        <v>0.7938789476834626</v>
      </c>
      <c r="L3308" t="b">
        <v>0</v>
      </c>
      <c r="M3308" t="b">
        <v>0</v>
      </c>
      <c r="N3308" t="inlineStr">
        <is>
          <t>ref</t>
        </is>
      </c>
      <c r="O3308" t="n">
        <v>95</v>
      </c>
      <c r="P3308" t="n">
        <v>0.02116</v>
      </c>
      <c r="Q3308" t="n">
        <v>-55</v>
      </c>
      <c r="R3308" t="n">
        <v>0.03302</v>
      </c>
      <c r="S3308">
        <f>IMAGE("https://mitra.stanford.edu/kundaje/oak/projects/neuro-variants/variant_position/credible/roussos_2024/variant_figures/roussos_2024.infant.GLU/rs10055704_count_position.png",4,220,900)</f>
        <v/>
      </c>
      <c r="T3308">
        <f>IMAGE("https://mitra.stanford.edu/kundaje/oak/projects/neuro-variants/variant_position/credible/roussos_2024/variant_figures/roussos_2024.infant.GLU/rs10055704_profile_position.png",4,220,900)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-0.0489229228</v>
      </c>
      <c r="G3309" t="n">
        <v>0.1811940956562812</v>
      </c>
      <c r="H3309" t="n">
        <v>0.0133197263123173</v>
      </c>
      <c r="I3309" t="n">
        <v>0.4610831053184788</v>
      </c>
      <c r="J3309" t="n">
        <v>0.1531393990167331</v>
      </c>
      <c r="K3309" t="n">
        <v>0.1443975844524358</v>
      </c>
      <c r="L3309" t="b">
        <v>0</v>
      </c>
      <c r="M3309" t="b">
        <v>0</v>
      </c>
      <c r="N3309" t="inlineStr">
        <is>
          <t>ref</t>
        </is>
      </c>
      <c r="O3309" t="n">
        <v>-100</v>
      </c>
      <c r="P3309" t="n">
        <v>0.02145</v>
      </c>
      <c r="Q3309" t="n">
        <v>70</v>
      </c>
      <c r="R3309" t="n">
        <v>0.2883</v>
      </c>
      <c r="S3309">
        <f>IMAGE("https://mitra.stanford.edu/kundaje/oak/projects/neuro-variants/variant_position/credible/roussos_2024/variant_figures/roussos_2024.infant.GLU/rs11242471_count_position.png",4,220,900)</f>
        <v/>
      </c>
      <c r="T3309">
        <f>IMAGE("https://mitra.stanford.edu/kundaje/oak/projects/neuro-variants/variant_position/credible/roussos_2024/variant_figures/roussos_2024.infant.GLU/rs11242471_profile_position.png",4,220,900)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0.1667232719999999</v>
      </c>
      <c r="G3310" t="n">
        <v>0.0160235786973334</v>
      </c>
      <c r="H3310" t="n">
        <v>0.0252377298702005</v>
      </c>
      <c r="I3310" t="n">
        <v>0.0984518746626373</v>
      </c>
      <c r="J3310" t="n">
        <v>0.07064750104720111</v>
      </c>
      <c r="K3310" t="n">
        <v>0.2691480648866748</v>
      </c>
      <c r="L3310" t="b">
        <v>1</v>
      </c>
      <c r="M3310" t="b">
        <v>0</v>
      </c>
      <c r="N3310" t="inlineStr">
        <is>
          <t>alt</t>
        </is>
      </c>
      <c r="O3310" t="n">
        <v>-100</v>
      </c>
      <c r="P3310" t="n">
        <v>0.01926</v>
      </c>
      <c r="Q3310" t="n">
        <v>-20</v>
      </c>
      <c r="R3310" t="n">
        <v>0.02917</v>
      </c>
      <c r="S3310">
        <f>IMAGE("https://mitra.stanford.edu/kundaje/oak/projects/neuro-variants/variant_position/credible/roussos_2024/variant_figures/roussos_2024.infant.GLU/rs252810_count_position.png",4,220,900)</f>
        <v/>
      </c>
      <c r="T3310">
        <f>IMAGE("https://mitra.stanford.edu/kundaje/oak/projects/neuro-variants/variant_position/credible/roussos_2024/variant_figures/roussos_2024.infant.GLU/rs252810_profile_position.png",4,220,900)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0.175305658</v>
      </c>
      <c r="G3311" t="n">
        <v>0.0141807733864796</v>
      </c>
      <c r="H3311" t="n">
        <v>0.0211113406678801</v>
      </c>
      <c r="I3311" t="n">
        <v>0.160189795179228</v>
      </c>
      <c r="J3311" t="n">
        <v>0.446134174033819</v>
      </c>
      <c r="K3311" t="n">
        <v>0.0380981578075715</v>
      </c>
      <c r="L3311" t="b">
        <v>1</v>
      </c>
      <c r="M3311" t="b">
        <v>0</v>
      </c>
      <c r="N3311" t="inlineStr">
        <is>
          <t>alt</t>
        </is>
      </c>
      <c r="O3311" t="n">
        <v>-95</v>
      </c>
      <c r="P3311" t="n">
        <v>0.0191</v>
      </c>
      <c r="Q3311" t="n">
        <v>-50</v>
      </c>
      <c r="R3311" t="n">
        <v>0.01855</v>
      </c>
      <c r="S3311">
        <f>IMAGE("https://mitra.stanford.edu/kundaje/oak/projects/neuro-variants/variant_position/credible/roussos_2024/variant_figures/roussos_2024.infant.GLU/rs152611_count_position.png",4,220,900)</f>
        <v/>
      </c>
      <c r="T3311">
        <f>IMAGE("https://mitra.stanford.edu/kundaje/oak/projects/neuro-variants/variant_position/credible/roussos_2024/variant_figures/roussos_2024.infant.GLU/rs152611_profile_position.png",4,220,900)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0.0360418066</v>
      </c>
      <c r="G3312" t="n">
        <v>0.2616532250772167</v>
      </c>
      <c r="H3312" t="n">
        <v>0.0372275380217857</v>
      </c>
      <c r="I3312" t="n">
        <v>0.0268011967321119</v>
      </c>
      <c r="J3312" t="n">
        <v>0.0587590114420511</v>
      </c>
      <c r="K3312" t="n">
        <v>0.3153462176694918</v>
      </c>
      <c r="L3312" t="b">
        <v>0</v>
      </c>
      <c r="M3312" t="b">
        <v>0</v>
      </c>
      <c r="N3312" t="inlineStr">
        <is>
          <t>alt</t>
        </is>
      </c>
      <c r="O3312" t="n">
        <v>-100</v>
      </c>
      <c r="P3312" t="n">
        <v>0.0398</v>
      </c>
      <c r="Q3312" t="n">
        <v>60</v>
      </c>
      <c r="R3312" t="n">
        <v>0.1348</v>
      </c>
      <c r="S3312">
        <f>IMAGE("https://mitra.stanford.edu/kundaje/oak/projects/neuro-variants/variant_position/credible/roussos_2024/variant_figures/roussos_2024.infant.GLU/rs115779_count_position.png",4,220,900)</f>
        <v/>
      </c>
      <c r="T3312">
        <f>IMAGE("https://mitra.stanford.edu/kundaje/oak/projects/neuro-variants/variant_position/credible/roussos_2024/variant_figures/roussos_2024.infant.GLU/rs115779_profile_position.png",4,220,900)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-0.00492053085</v>
      </c>
      <c r="G3313" t="n">
        <v>0.7203427075628648</v>
      </c>
      <c r="H3313" t="n">
        <v>0.0346071257468505</v>
      </c>
      <c r="I3313" t="n">
        <v>0.0351941647805288</v>
      </c>
      <c r="J3313" t="n">
        <v>0.0018551996296213</v>
      </c>
      <c r="K3313" t="n">
        <v>0.8738689191147003</v>
      </c>
      <c r="L3313" t="b">
        <v>0</v>
      </c>
      <c r="M3313" t="b">
        <v>0</v>
      </c>
      <c r="N3313" t="inlineStr">
        <is>
          <t>ref</t>
        </is>
      </c>
      <c r="O3313" t="n">
        <v>85</v>
      </c>
      <c r="P3313" t="n">
        <v>0.0508</v>
      </c>
      <c r="Q3313" t="n">
        <v>65</v>
      </c>
      <c r="R3313" t="n">
        <v>0.04196</v>
      </c>
      <c r="S3313">
        <f>IMAGE("https://mitra.stanford.edu/kundaje/oak/projects/neuro-variants/variant_position/credible/roussos_2024/variant_figures/roussos_2024.infant.GLU/rs967270_count_position.png",4,220,900)</f>
        <v/>
      </c>
      <c r="T3313">
        <f>IMAGE("https://mitra.stanford.edu/kundaje/oak/projects/neuro-variants/variant_position/credible/roussos_2024/variant_figures/roussos_2024.infant.GLU/rs967270_profile_position.png",4,220,900)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0.1101158274</v>
      </c>
      <c r="G3314" t="n">
        <v>0.0591519031696185</v>
      </c>
      <c r="H3314" t="n">
        <v>0.0176419636180097</v>
      </c>
      <c r="I3314" t="n">
        <v>0.2729868489682748</v>
      </c>
      <c r="J3314" t="n">
        <v>0.1479485879318326</v>
      </c>
      <c r="K3314" t="n">
        <v>0.1519382887343949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0.010666</v>
      </c>
      <c r="Q3314" t="n">
        <v>10</v>
      </c>
      <c r="R3314" t="n">
        <v>0.01953</v>
      </c>
      <c r="S3314">
        <f>IMAGE("https://mitra.stanford.edu/kundaje/oak/projects/neuro-variants/variant_position/credible/roussos_2024/variant_figures/roussos_2024.infant.GLU/rs25913_count_position.png",4,220,900)</f>
        <v/>
      </c>
      <c r="T3314">
        <f>IMAGE("https://mitra.stanford.edu/kundaje/oak/projects/neuro-variants/variant_position/credible/roussos_2024/variant_figures/roussos_2024.infant.GLU/rs25913_profile_position.png",4,220,900)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0.0340849676</v>
      </c>
      <c r="G3315" t="n">
        <v>0.2749008842782488</v>
      </c>
      <c r="H3315" t="n">
        <v>0.0085372639041639</v>
      </c>
      <c r="I3315" t="n">
        <v>0.8319835527802435</v>
      </c>
      <c r="J3315" t="n">
        <v>0.0064187923014175</v>
      </c>
      <c r="K3315" t="n">
        <v>0.7273825138013347</v>
      </c>
      <c r="L3315" t="b">
        <v>0</v>
      </c>
      <c r="M3315" t="b">
        <v>0</v>
      </c>
      <c r="N3315" t="inlineStr">
        <is>
          <t>alt</t>
        </is>
      </c>
      <c r="O3315" t="n">
        <v>70</v>
      </c>
      <c r="P3315" t="n">
        <v>0.02824</v>
      </c>
      <c r="Q3315" t="n">
        <v>55</v>
      </c>
      <c r="R3315" t="n">
        <v>0.0983</v>
      </c>
      <c r="S3315">
        <f>IMAGE("https://mitra.stanford.edu/kundaje/oak/projects/neuro-variants/variant_position/credible/roussos_2024/variant_figures/roussos_2024.infant.GLU/rs31609_count_position.png",4,220,900)</f>
        <v/>
      </c>
      <c r="T3315">
        <f>IMAGE("https://mitra.stanford.edu/kundaje/oak/projects/neuro-variants/variant_position/credible/roussos_2024/variant_figures/roussos_2024.infant.GLU/rs31609_profile_position.png",4,220,900)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0.0216791952</v>
      </c>
      <c r="G3316" t="n">
        <v>0.4105689631178911</v>
      </c>
      <c r="H3316" t="n">
        <v>0.0413736327106369</v>
      </c>
      <c r="I3316" t="n">
        <v>0.0177192210991559</v>
      </c>
      <c r="J3316" t="n">
        <v>0.06473136532992339</v>
      </c>
      <c r="K3316" t="n">
        <v>0.2883118832195742</v>
      </c>
      <c r="L3316" t="b">
        <v>1</v>
      </c>
      <c r="M3316" t="b">
        <v>0</v>
      </c>
      <c r="N3316" t="inlineStr">
        <is>
          <t>alt</t>
        </is>
      </c>
      <c r="O3316" t="n">
        <v>55</v>
      </c>
      <c r="P3316" t="n">
        <v>0.00267</v>
      </c>
      <c r="Q3316" t="n">
        <v>-35</v>
      </c>
      <c r="R3316" t="n">
        <v>0.01672</v>
      </c>
      <c r="S3316">
        <f>IMAGE("https://mitra.stanford.edu/kundaje/oak/projects/neuro-variants/variant_position/credible/roussos_2024/variant_figures/roussos_2024.infant.GLU/rs31598_count_position.png",4,220,900)</f>
        <v/>
      </c>
      <c r="T3316">
        <f>IMAGE("https://mitra.stanford.edu/kundaje/oak/projects/neuro-variants/variant_position/credible/roussos_2024/variant_figures/roussos_2024.infant.GLU/rs31598_profile_position.png",4,220,900)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0.0219857805999999</v>
      </c>
      <c r="G3317" t="n">
        <v>0.3077582914214672</v>
      </c>
      <c r="H3317" t="n">
        <v>0.0145253632818733</v>
      </c>
      <c r="I3317" t="n">
        <v>0.3925464970882095</v>
      </c>
      <c r="J3317" t="n">
        <v>0.0013459291430586</v>
      </c>
      <c r="K3317" t="n">
        <v>0.8880332526107204</v>
      </c>
      <c r="L3317" t="b">
        <v>0</v>
      </c>
      <c r="M3317" t="b">
        <v>0</v>
      </c>
      <c r="N3317" t="inlineStr">
        <is>
          <t>alt</t>
        </is>
      </c>
      <c r="O3317" t="n">
        <v>80</v>
      </c>
      <c r="P3317" t="n">
        <v>0.08386</v>
      </c>
      <c r="Q3317" t="n">
        <v>60</v>
      </c>
      <c r="R3317" t="n">
        <v>0.1005</v>
      </c>
      <c r="S3317">
        <f>IMAGE("https://mitra.stanford.edu/kundaje/oak/projects/neuro-variants/variant_position/credible/roussos_2024/variant_figures/roussos_2024.infant.GLU/rs253243_count_position.png",4,220,900)</f>
        <v/>
      </c>
      <c r="T3317">
        <f>IMAGE("https://mitra.stanford.edu/kundaje/oak/projects/neuro-variants/variant_position/credible/roussos_2024/variant_figures/roussos_2024.infant.GLU/rs253243_profile_position.png",4,220,900)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0.0619700688</v>
      </c>
      <c r="G3318" t="n">
        <v>0.1182661587064414</v>
      </c>
      <c r="H3318" t="n">
        <v>0.0476368958510807</v>
      </c>
      <c r="I3318" t="n">
        <v>0.009541210635829101</v>
      </c>
      <c r="J3318" t="n">
        <v>0.0040146387706959</v>
      </c>
      <c r="K3318" t="n">
        <v>0.7904481076632577</v>
      </c>
      <c r="L3318" t="b">
        <v>0</v>
      </c>
      <c r="M3318" t="b">
        <v>0</v>
      </c>
      <c r="N3318" t="inlineStr">
        <is>
          <t>alt</t>
        </is>
      </c>
      <c r="O3318" t="n">
        <v>-100</v>
      </c>
      <c r="P3318" t="n">
        <v>0.0058</v>
      </c>
      <c r="Q3318" t="n">
        <v>-50</v>
      </c>
      <c r="R3318" t="n">
        <v>0.05054</v>
      </c>
      <c r="S3318">
        <f>IMAGE("https://mitra.stanford.edu/kundaje/oak/projects/neuro-variants/variant_position/credible/roussos_2024/variant_figures/roussos_2024.infant.GLU/rs845739_count_position.png",4,220,900)</f>
        <v/>
      </c>
      <c r="T3318">
        <f>IMAGE("https://mitra.stanford.edu/kundaje/oak/projects/neuro-variants/variant_position/credible/roussos_2024/variant_figures/roussos_2024.infant.GLU/rs845739_profile_position.png",4,220,900)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-0.04884228104</v>
      </c>
      <c r="G3319" t="n">
        <v>0.1967513795976463</v>
      </c>
      <c r="H3319" t="n">
        <v>0.0180790622581743</v>
      </c>
      <c r="I3319" t="n">
        <v>0.2370352133799457</v>
      </c>
      <c r="J3319" t="n">
        <v>0.6983542406137702</v>
      </c>
      <c r="K3319" t="n">
        <v>0.0141619697975466</v>
      </c>
      <c r="L3319" t="b">
        <v>0</v>
      </c>
      <c r="M3319" t="b">
        <v>0</v>
      </c>
      <c r="N3319" t="inlineStr">
        <is>
          <t>ref</t>
        </is>
      </c>
      <c r="O3319" t="n">
        <v>-70</v>
      </c>
      <c r="P3319" t="n">
        <v>0.009094</v>
      </c>
      <c r="Q3319" t="n">
        <v>90</v>
      </c>
      <c r="R3319" t="n">
        <v>0.1206</v>
      </c>
      <c r="S3319">
        <f>IMAGE("https://mitra.stanford.edu/kundaje/oak/projects/neuro-variants/variant_position/credible/roussos_2024/variant_figures/roussos_2024.infant.GLU/rs1438662_count_position.png",4,220,900)</f>
        <v/>
      </c>
      <c r="T3319">
        <f>IMAGE("https://mitra.stanford.edu/kundaje/oak/projects/neuro-variants/variant_position/credible/roussos_2024/variant_figures/roussos_2024.infant.GLU/rs1438662_profile_position.png",4,220,900)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-0.1104167735999999</v>
      </c>
      <c r="G3320" t="n">
        <v>0.0653431489194988</v>
      </c>
      <c r="H3320" t="n">
        <v>0.0184655226667253</v>
      </c>
      <c r="I3320" t="n">
        <v>0.2437281793113921</v>
      </c>
      <c r="J3320" t="n">
        <v>0.109881170219802</v>
      </c>
      <c r="K3320" t="n">
        <v>0.1966527291458608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0.00476</v>
      </c>
      <c r="Q3320" t="n">
        <v>-55</v>
      </c>
      <c r="R3320" t="n">
        <v>0.04932</v>
      </c>
      <c r="S3320">
        <f>IMAGE("https://mitra.stanford.edu/kundaje/oak/projects/neuro-variants/variant_position/credible/roussos_2024/variant_figures/roussos_2024.infant.GLU/rs3819904_count_position.png",4,220,900)</f>
        <v/>
      </c>
      <c r="T3320">
        <f>IMAGE("https://mitra.stanford.edu/kundaje/oak/projects/neuro-variants/variant_position/credible/roussos_2024/variant_figures/roussos_2024.infant.GLU/rs3819904_profile_position.png",4,220,900)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-0.009927869239999901</v>
      </c>
      <c r="G3321" t="n">
        <v>0.3856866875195761</v>
      </c>
      <c r="H3321" t="n">
        <v>0.0354022636154685</v>
      </c>
      <c r="I3321" t="n">
        <v>0.0324957853718172</v>
      </c>
      <c r="J3321" t="n">
        <v>0.3874126413721642</v>
      </c>
      <c r="K3321" t="n">
        <v>0.0479237632829524</v>
      </c>
      <c r="L3321" t="b">
        <v>0</v>
      </c>
      <c r="M3321" t="b">
        <v>0</v>
      </c>
      <c r="N3321" t="inlineStr">
        <is>
          <t>ref</t>
        </is>
      </c>
      <c r="O3321" t="n">
        <v>45</v>
      </c>
      <c r="P3321" t="n">
        <v>0.03308</v>
      </c>
      <c r="Q3321" t="n">
        <v>-60</v>
      </c>
      <c r="R3321" t="n">
        <v>0.06469999999999999</v>
      </c>
      <c r="S3321">
        <f>IMAGE("https://mitra.stanford.edu/kundaje/oak/projects/neuro-variants/variant_position/credible/roussos_2024/variant_figures/roussos_2024.infant.GLU/rs1370960_count_position.png",4,220,900)</f>
        <v/>
      </c>
      <c r="T3321">
        <f>IMAGE("https://mitra.stanford.edu/kundaje/oak/projects/neuro-variants/variant_position/credible/roussos_2024/variant_figures/roussos_2024.infant.GLU/rs1370960_profile_position.png",4,220,900)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0.0554616814</v>
      </c>
      <c r="G3322" t="n">
        <v>0.1642566927146498</v>
      </c>
      <c r="H3322" t="n">
        <v>0.0204581696763149</v>
      </c>
      <c r="I3322" t="n">
        <v>0.1764765762790495</v>
      </c>
      <c r="J3322" t="n">
        <v>0.0055667012059348</v>
      </c>
      <c r="K3322" t="n">
        <v>0.7487058119003038</v>
      </c>
      <c r="L3322" t="b">
        <v>0</v>
      </c>
      <c r="M3322" t="b">
        <v>0</v>
      </c>
      <c r="N3322" t="inlineStr">
        <is>
          <t>alt</t>
        </is>
      </c>
      <c r="O3322" t="n">
        <v>-95</v>
      </c>
      <c r="P3322" t="n">
        <v>0.005775</v>
      </c>
      <c r="Q3322" t="n">
        <v>-20</v>
      </c>
      <c r="R3322" t="n">
        <v>0.0307</v>
      </c>
      <c r="S3322">
        <f>IMAGE("https://mitra.stanford.edu/kundaje/oak/projects/neuro-variants/variant_position/credible/roussos_2024/variant_figures/roussos_2024.infant.GLU/rs6897334_count_position.png",4,220,900)</f>
        <v/>
      </c>
      <c r="T3322">
        <f>IMAGE("https://mitra.stanford.edu/kundaje/oak/projects/neuro-variants/variant_position/credible/roussos_2024/variant_figures/roussos_2024.infant.GLU/rs6897334_profile_position.png",4,220,900)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-0.0466488388</v>
      </c>
      <c r="G3323" t="n">
        <v>0.2014904056254429</v>
      </c>
      <c r="H3323" t="n">
        <v>0.0097208274253328</v>
      </c>
      <c r="I3323" t="n">
        <v>0.7686287192203526</v>
      </c>
      <c r="J3323" t="n">
        <v>0.0452622412310676</v>
      </c>
      <c r="K3323" t="n">
        <v>0.3671556614619757</v>
      </c>
      <c r="L3323" t="b">
        <v>0</v>
      </c>
      <c r="M3323" t="b">
        <v>0</v>
      </c>
      <c r="N3323" t="inlineStr">
        <is>
          <t>ref</t>
        </is>
      </c>
      <c r="O3323" t="n">
        <v>-15</v>
      </c>
      <c r="P3323" t="n">
        <v>0.003845</v>
      </c>
      <c r="Q3323" t="n">
        <v>70</v>
      </c>
      <c r="R3323" t="n">
        <v>0.0951</v>
      </c>
      <c r="S3323">
        <f>IMAGE("https://mitra.stanford.edu/kundaje/oak/projects/neuro-variants/variant_position/credible/roussos_2024/variant_figures/roussos_2024.infant.GLU/rs2269201_count_position.png",4,220,900)</f>
        <v/>
      </c>
      <c r="T3323">
        <f>IMAGE("https://mitra.stanford.edu/kundaje/oak/projects/neuro-variants/variant_position/credible/roussos_2024/variant_figures/roussos_2024.infant.GLU/rs2269201_profile_position.png",4,220,900)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0.00173378576</v>
      </c>
      <c r="G3324" t="n">
        <v>0.8061701159129947</v>
      </c>
      <c r="H3324" t="n">
        <v>0.0070789600887319</v>
      </c>
      <c r="I3324" t="n">
        <v>0.9434591325971576</v>
      </c>
      <c r="J3324" t="n">
        <v>0.0071507308362176</v>
      </c>
      <c r="K3324" t="n">
        <v>0.7059988874799495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0.0784</v>
      </c>
      <c r="Q3324" t="n">
        <v>-100</v>
      </c>
      <c r="R3324" t="n">
        <v>0.01926</v>
      </c>
      <c r="S3324">
        <f>IMAGE("https://mitra.stanford.edu/kundaje/oak/projects/neuro-variants/variant_position/credible/roussos_2024/variant_figures/roussos_2024.infant.GLU/rs34387996_count_position.png",4,220,900)</f>
        <v/>
      </c>
      <c r="T3324">
        <f>IMAGE("https://mitra.stanford.edu/kundaje/oak/projects/neuro-variants/variant_position/credible/roussos_2024/variant_figures/roussos_2024.infant.GLU/rs34387996_profile_position.png",4,220,900)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0.1041452188</v>
      </c>
      <c r="G3325" t="n">
        <v>0.0453627849502111</v>
      </c>
      <c r="H3325" t="n">
        <v>0.0431507027362629</v>
      </c>
      <c r="I3325" t="n">
        <v>0.0146873578601979</v>
      </c>
      <c r="J3325" t="n">
        <v>0.0312286426067593</v>
      </c>
      <c r="K3325" t="n">
        <v>0.4434812602721311</v>
      </c>
      <c r="L3325" t="b">
        <v>1</v>
      </c>
      <c r="M3325" t="b">
        <v>0</v>
      </c>
      <c r="N3325" t="inlineStr">
        <is>
          <t>alt</t>
        </is>
      </c>
      <c r="O3325" t="n">
        <v>-100</v>
      </c>
      <c r="P3325" t="n">
        <v>0.01607</v>
      </c>
      <c r="Q3325" t="n">
        <v>95</v>
      </c>
      <c r="R3325" t="n">
        <v>0.09485</v>
      </c>
      <c r="S3325">
        <f>IMAGE("https://mitra.stanford.edu/kundaje/oak/projects/neuro-variants/variant_position/credible/roussos_2024/variant_figures/roussos_2024.infant.GLU/rs10463428_count_position.png",4,220,900)</f>
        <v/>
      </c>
      <c r="T3325">
        <f>IMAGE("https://mitra.stanford.edu/kundaje/oak/projects/neuro-variants/variant_position/credible/roussos_2024/variant_figures/roussos_2024.infant.GLU/rs10463428_profile_position.png",4,220,900)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-0.0279859152</v>
      </c>
      <c r="G3326" t="n">
        <v>0.3447999393330174</v>
      </c>
      <c r="H3326" t="n">
        <v>0.012729112067853</v>
      </c>
      <c r="I3326" t="n">
        <v>0.5010836811408987</v>
      </c>
      <c r="J3326" t="n">
        <v>0.0243270354284706</v>
      </c>
      <c r="K3326" t="n">
        <v>0.5111798995059631</v>
      </c>
      <c r="L3326" t="b">
        <v>0</v>
      </c>
      <c r="M3326" t="b">
        <v>0</v>
      </c>
      <c r="N3326" t="inlineStr">
        <is>
          <t>ref</t>
        </is>
      </c>
      <c r="O3326" t="n">
        <v>85</v>
      </c>
      <c r="P3326" t="n">
        <v>0.1111</v>
      </c>
      <c r="Q3326" t="n">
        <v>85</v>
      </c>
      <c r="R3326" t="n">
        <v>0.1359</v>
      </c>
      <c r="S3326">
        <f>IMAGE("https://mitra.stanford.edu/kundaje/oak/projects/neuro-variants/variant_position/credible/roussos_2024/variant_figures/roussos_2024.infant.GLU/rs2416217_count_position.png",4,220,900)</f>
        <v/>
      </c>
      <c r="T3326">
        <f>IMAGE("https://mitra.stanford.edu/kundaje/oak/projects/neuro-variants/variant_position/credible/roussos_2024/variant_figures/roussos_2024.infant.GLU/rs2416217_profile_position.png",4,220,900)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-0.00839719282</v>
      </c>
      <c r="G3327" t="n">
        <v>0.6916188722881439</v>
      </c>
      <c r="H3327" t="n">
        <v>0.0089605446547215</v>
      </c>
      <c r="I3327" t="n">
        <v>0.8304189946912179</v>
      </c>
      <c r="J3327" t="n">
        <v>0.0243369562821049</v>
      </c>
      <c r="K3327" t="n">
        <v>0.5112667387533811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0.11084</v>
      </c>
      <c r="Q3327" t="n">
        <v>85</v>
      </c>
      <c r="R3327" t="n">
        <v>0.1342</v>
      </c>
      <c r="S3327">
        <f>IMAGE("https://mitra.stanford.edu/kundaje/oak/projects/neuro-variants/variant_position/credible/roussos_2024/variant_figures/roussos_2024.infant.GLU/rs2416218_count_position.png",4,220,900)</f>
        <v/>
      </c>
      <c r="T3327">
        <f>IMAGE("https://mitra.stanford.edu/kundaje/oak/projects/neuro-variants/variant_position/credible/roussos_2024/variant_figures/roussos_2024.infant.GLU/rs2416218_profile_position.png",4,220,900)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0.00639939868</v>
      </c>
      <c r="G3328" t="n">
        <v>0.6270806288248768</v>
      </c>
      <c r="H3328" t="n">
        <v>0.0097035743142494</v>
      </c>
      <c r="I3328" t="n">
        <v>0.7491292540090582</v>
      </c>
      <c r="J3328" t="n">
        <v>0.0177032121519433</v>
      </c>
      <c r="K3328" t="n">
        <v>0.5670023032172269</v>
      </c>
      <c r="L3328" t="b">
        <v>0</v>
      </c>
      <c r="M3328" t="b">
        <v>0</v>
      </c>
      <c r="N3328" t="inlineStr">
        <is>
          <t>alt</t>
        </is>
      </c>
      <c r="O3328" t="n">
        <v>-70</v>
      </c>
      <c r="P3328" t="n">
        <v>0.01868</v>
      </c>
      <c r="Q3328" t="n">
        <v>20</v>
      </c>
      <c r="R3328" t="n">
        <v>0.0442</v>
      </c>
      <c r="S3328">
        <f>IMAGE("https://mitra.stanford.edu/kundaje/oak/projects/neuro-variants/variant_position/credible/roussos_2024/variant_figures/roussos_2024.infant.GLU/rs3756597_count_position.png",4,220,900)</f>
        <v/>
      </c>
      <c r="T3328">
        <f>IMAGE("https://mitra.stanford.edu/kundaje/oak/projects/neuro-variants/variant_position/credible/roussos_2024/variant_figures/roussos_2024.infant.GLU/rs3756597_profile_position.png",4,220,900)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0.0912014438</v>
      </c>
      <c r="G3329" t="n">
        <v>0.0722449622817499</v>
      </c>
      <c r="H3329" t="n">
        <v>0.020191242149789</v>
      </c>
      <c r="I3329" t="n">
        <v>0.1797409340079268</v>
      </c>
      <c r="J3329" t="n">
        <v>0.1548050001102316</v>
      </c>
      <c r="K3329" t="n">
        <v>0.1556376781522978</v>
      </c>
      <c r="L3329" t="b">
        <v>0</v>
      </c>
      <c r="M3329" t="b">
        <v>0</v>
      </c>
      <c r="N3329" t="inlineStr">
        <is>
          <t>alt</t>
        </is>
      </c>
      <c r="O3329" t="n">
        <v>-90</v>
      </c>
      <c r="P3329" t="n">
        <v>0.012436</v>
      </c>
      <c r="Q3329" t="n">
        <v>-75</v>
      </c>
      <c r="R3329" t="n">
        <v>0.09619999999999999</v>
      </c>
      <c r="S3329">
        <f>IMAGE("https://mitra.stanford.edu/kundaje/oak/projects/neuro-variants/variant_position/credible/roussos_2024/variant_figures/roussos_2024.infant.GLU/rs13187248_count_position.png",4,220,900)</f>
        <v/>
      </c>
      <c r="T3329">
        <f>IMAGE("https://mitra.stanford.edu/kundaje/oak/projects/neuro-variants/variant_position/credible/roussos_2024/variant_figures/roussos_2024.infant.GLU/rs13187248_profile_position.png",4,220,900)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-0.09168749280000001</v>
      </c>
      <c r="G3330" t="n">
        <v>0.0593230083824289</v>
      </c>
      <c r="H3330" t="n">
        <v>0.0219618854827335</v>
      </c>
      <c r="I3330" t="n">
        <v>0.1437899651810557</v>
      </c>
      <c r="J3330" t="n">
        <v>0.1271809343239489</v>
      </c>
      <c r="K3330" t="n">
        <v>0.1913370189285279</v>
      </c>
      <c r="L3330" t="b">
        <v>0</v>
      </c>
      <c r="M3330" t="b">
        <v>0</v>
      </c>
      <c r="N3330" t="inlineStr">
        <is>
          <t>ref</t>
        </is>
      </c>
      <c r="O3330" t="n">
        <v>-35</v>
      </c>
      <c r="P3330" t="n">
        <v>0.001572</v>
      </c>
      <c r="Q3330" t="n">
        <v>-100</v>
      </c>
      <c r="R3330" t="n">
        <v>0.1211</v>
      </c>
      <c r="S3330">
        <f>IMAGE("https://mitra.stanford.edu/kundaje/oak/projects/neuro-variants/variant_position/credible/roussos_2024/variant_figures/roussos_2024.infant.GLU/rs13187428_count_position.png",4,220,900)</f>
        <v/>
      </c>
      <c r="T3330">
        <f>IMAGE("https://mitra.stanford.edu/kundaje/oak/projects/neuro-variants/variant_position/credible/roussos_2024/variant_figures/roussos_2024.infant.GLU/rs13187428_profile_position.png",4,220,900)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-0.006254200732</v>
      </c>
      <c r="G3331" t="n">
        <v>0.6620486956237971</v>
      </c>
      <c r="H3331" t="n">
        <v>0.037536356640704</v>
      </c>
      <c r="I3331" t="n">
        <v>0.0264770384675759</v>
      </c>
      <c r="J3331" t="n">
        <v>0.0702164950726426</v>
      </c>
      <c r="K3331" t="n">
        <v>0.2713139855094572</v>
      </c>
      <c r="L3331" t="b">
        <v>0</v>
      </c>
      <c r="M3331" t="b">
        <v>0</v>
      </c>
      <c r="N3331" t="inlineStr">
        <is>
          <t>ref</t>
        </is>
      </c>
      <c r="O3331" t="n">
        <v>-100</v>
      </c>
      <c r="P3331" t="n">
        <v>0.012924</v>
      </c>
      <c r="Q3331" t="n">
        <v>50</v>
      </c>
      <c r="R3331" t="n">
        <v>0.06024</v>
      </c>
      <c r="S3331">
        <f>IMAGE("https://mitra.stanford.edu/kundaje/oak/projects/neuro-variants/variant_position/credible/roussos_2024/variant_figures/roussos_2024.infant.GLU/rs10041575_count_position.png",4,220,900)</f>
        <v/>
      </c>
      <c r="T3331">
        <f>IMAGE("https://mitra.stanford.edu/kundaje/oak/projects/neuro-variants/variant_position/credible/roussos_2024/variant_figures/roussos_2024.infant.GLU/rs10041575_profile_position.png",4,220,900)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0.14154824</v>
      </c>
      <c r="G3332" t="n">
        <v>0.0248926981072886</v>
      </c>
      <c r="H3332" t="n">
        <v>0.0238191007671833</v>
      </c>
      <c r="I3332" t="n">
        <v>0.1184157920607553</v>
      </c>
      <c r="J3332" t="n">
        <v>0.0033819087722392</v>
      </c>
      <c r="K3332" t="n">
        <v>0.8101325363919393</v>
      </c>
      <c r="L3332" t="b">
        <v>0</v>
      </c>
      <c r="M3332" t="b">
        <v>0</v>
      </c>
      <c r="N3332" t="inlineStr">
        <is>
          <t>alt</t>
        </is>
      </c>
      <c r="O3332" t="n">
        <v>-95</v>
      </c>
      <c r="P3332" t="n">
        <v>0.01277</v>
      </c>
      <c r="Q3332" t="n">
        <v>-100</v>
      </c>
      <c r="R3332" t="n">
        <v>0.03143</v>
      </c>
      <c r="S3332">
        <f>IMAGE("https://mitra.stanford.edu/kundaje/oak/projects/neuro-variants/variant_position/credible/roussos_2024/variant_figures/roussos_2024.infant.GLU/rs3753174_count_position.png",4,220,900)</f>
        <v/>
      </c>
      <c r="T3332">
        <f>IMAGE("https://mitra.stanford.edu/kundaje/oak/projects/neuro-variants/variant_position/credible/roussos_2024/variant_figures/roussos_2024.infant.GLU/rs3753174_profile_position.png",4,220,900)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0.020079241</v>
      </c>
      <c r="G3333" t="n">
        <v>0.4305505957054545</v>
      </c>
      <c r="H3333" t="n">
        <v>0.0415159473712362</v>
      </c>
      <c r="I3333" t="n">
        <v>0.0172942693920381</v>
      </c>
      <c r="J3333" t="n">
        <v>0.0619270707026168</v>
      </c>
      <c r="K3333" t="n">
        <v>0.3084643852196796</v>
      </c>
      <c r="L3333" t="b">
        <v>1</v>
      </c>
      <c r="M3333" t="b">
        <v>0</v>
      </c>
      <c r="N3333" t="inlineStr">
        <is>
          <t>alt</t>
        </is>
      </c>
      <c r="O3333" t="n">
        <v>-40</v>
      </c>
      <c r="P3333" t="n">
        <v>0.002666</v>
      </c>
      <c r="Q3333" t="n">
        <v>85</v>
      </c>
      <c r="R3333" t="n">
        <v>0.1973</v>
      </c>
      <c r="S3333">
        <f>IMAGE("https://mitra.stanford.edu/kundaje/oak/projects/neuro-variants/variant_position/credible/roussos_2024/variant_figures/roussos_2024.infant.GLU/rs2042164_count_position.png",4,220,900)</f>
        <v/>
      </c>
      <c r="T3333">
        <f>IMAGE("https://mitra.stanford.edu/kundaje/oak/projects/neuro-variants/variant_position/credible/roussos_2024/variant_figures/roussos_2024.infant.GLU/rs2042164_profile_position.png",4,220,900)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0.0034743018988</v>
      </c>
      <c r="G3334" t="n">
        <v>0.8328561473731809</v>
      </c>
      <c r="H3334" t="n">
        <v>0.0059268426118425</v>
      </c>
      <c r="I3334" t="n">
        <v>0.9908628040825644</v>
      </c>
      <c r="J3334" t="n">
        <v>0.0098921933905067</v>
      </c>
      <c r="K3334" t="n">
        <v>0.6587344026827886</v>
      </c>
      <c r="L3334" t="b">
        <v>0</v>
      </c>
      <c r="M3334" t="b">
        <v>0</v>
      </c>
      <c r="N3334" t="inlineStr">
        <is>
          <t>alt</t>
        </is>
      </c>
      <c r="O3334" t="n">
        <v>75</v>
      </c>
      <c r="P3334" t="n">
        <v>0.0565</v>
      </c>
      <c r="Q3334" t="n">
        <v>100</v>
      </c>
      <c r="R3334" t="n">
        <v>0.07086000000000001</v>
      </c>
      <c r="S3334">
        <f>IMAGE("https://mitra.stanford.edu/kundaje/oak/projects/neuro-variants/variant_position/credible/roussos_2024/variant_figures/roussos_2024.infant.GLU/rs34595717_count_position.png",4,220,900)</f>
        <v/>
      </c>
      <c r="T3334">
        <f>IMAGE("https://mitra.stanford.edu/kundaje/oak/projects/neuro-variants/variant_position/credible/roussos_2024/variant_figures/roussos_2024.infant.GLU/rs34595717_profile_position.png",4,220,900)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-0.1003907484</v>
      </c>
      <c r="G3335" t="n">
        <v>0.0627830906289896</v>
      </c>
      <c r="H3335" t="n">
        <v>0.0219723245177518</v>
      </c>
      <c r="I3335" t="n">
        <v>0.1475178721668371</v>
      </c>
      <c r="J3335" t="n">
        <v>0.0908386428272227</v>
      </c>
      <c r="K3335" t="n">
        <v>0.2277303578283917</v>
      </c>
      <c r="L3335" t="b">
        <v>0</v>
      </c>
      <c r="M3335" t="b">
        <v>0</v>
      </c>
      <c r="N3335" t="inlineStr">
        <is>
          <t>ref</t>
        </is>
      </c>
      <c r="O3335" t="n">
        <v>-100</v>
      </c>
      <c r="P3335" t="n">
        <v>0.02959</v>
      </c>
      <c r="Q3335" t="n">
        <v>-85</v>
      </c>
      <c r="R3335" t="n">
        <v>0.02002</v>
      </c>
      <c r="S3335">
        <f>IMAGE("https://mitra.stanford.edu/kundaje/oak/projects/neuro-variants/variant_position/credible/roussos_2024/variant_figures/roussos_2024.infant.GLU/rs13189822_count_position.png",4,220,900)</f>
        <v/>
      </c>
      <c r="T3335">
        <f>IMAGE("https://mitra.stanford.edu/kundaje/oak/projects/neuro-variants/variant_position/credible/roussos_2024/variant_figures/roussos_2024.infant.GLU/rs13189822_profile_position.png",4,220,900)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-0.02432404346</v>
      </c>
      <c r="G3336" t="n">
        <v>0.3651323838154937</v>
      </c>
      <c r="H3336" t="n">
        <v>0.0296530485709908</v>
      </c>
      <c r="I3336" t="n">
        <v>0.0599239016171461</v>
      </c>
      <c r="J3336" t="n">
        <v>0.0545646949888665</v>
      </c>
      <c r="K3336" t="n">
        <v>0.3238053712804945</v>
      </c>
      <c r="L3336" t="b">
        <v>0</v>
      </c>
      <c r="M3336" t="b">
        <v>0</v>
      </c>
      <c r="N3336" t="inlineStr">
        <is>
          <t>ref</t>
        </is>
      </c>
      <c r="O3336" t="n">
        <v>80</v>
      </c>
      <c r="P3336" t="n">
        <v>0.02298</v>
      </c>
      <c r="Q3336" t="n">
        <v>70</v>
      </c>
      <c r="R3336" t="n">
        <v>0.08690000000000001</v>
      </c>
      <c r="S3336">
        <f>IMAGE("https://mitra.stanford.edu/kundaje/oak/projects/neuro-variants/variant_position/credible/roussos_2024/variant_figures/roussos_2024.infant.GLU/rs2269205_count_position.png",4,220,900)</f>
        <v/>
      </c>
      <c r="T3336">
        <f>IMAGE("https://mitra.stanford.edu/kundaje/oak/projects/neuro-variants/variant_position/credible/roussos_2024/variant_figures/roussos_2024.infant.GLU/rs2269205_profile_position.png",4,220,900)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-0.0725985342</v>
      </c>
      <c r="G3337" t="n">
        <v>0.1006569763693002</v>
      </c>
      <c r="H3337" t="n">
        <v>0.0129344924969713</v>
      </c>
      <c r="I3337" t="n">
        <v>0.4774855306900677</v>
      </c>
      <c r="J3337" t="n">
        <v>0.0539242487709164</v>
      </c>
      <c r="K3337" t="n">
        <v>0.3258837108363537</v>
      </c>
      <c r="L3337" t="b">
        <v>0</v>
      </c>
      <c r="M3337" t="b">
        <v>0</v>
      </c>
      <c r="N3337" t="inlineStr">
        <is>
          <t>ref</t>
        </is>
      </c>
      <c r="O3337" t="n">
        <v>10</v>
      </c>
      <c r="P3337" t="n">
        <v>0.002672</v>
      </c>
      <c r="Q3337" t="n">
        <v>-40</v>
      </c>
      <c r="R3337" t="n">
        <v>0.1519</v>
      </c>
      <c r="S3337">
        <f>IMAGE("https://mitra.stanford.edu/kundaje/oak/projects/neuro-variants/variant_position/credible/roussos_2024/variant_figures/roussos_2024.infant.GLU/rs2269206_count_position.png",4,220,900)</f>
        <v/>
      </c>
      <c r="T3337">
        <f>IMAGE("https://mitra.stanford.edu/kundaje/oak/projects/neuro-variants/variant_position/credible/roussos_2024/variant_figures/roussos_2024.infant.GLU/rs2269206_profile_position.png",4,220,900)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0.020897481</v>
      </c>
      <c r="G3338" t="n">
        <v>0.4213477276452766</v>
      </c>
      <c r="H3338" t="n">
        <v>0.0345952899538377</v>
      </c>
      <c r="I3338" t="n">
        <v>0.0352785263054177</v>
      </c>
      <c r="J3338" t="n">
        <v>0.0409411583147776</v>
      </c>
      <c r="K3338" t="n">
        <v>0.3855274041080021</v>
      </c>
      <c r="L3338" t="b">
        <v>0</v>
      </c>
      <c r="M3338" t="b">
        <v>0</v>
      </c>
      <c r="N3338" t="inlineStr">
        <is>
          <t>alt</t>
        </is>
      </c>
      <c r="O3338" t="n">
        <v>-100</v>
      </c>
      <c r="P3338" t="n">
        <v>0.075</v>
      </c>
      <c r="Q3338" t="n">
        <v>-100</v>
      </c>
      <c r="R3338" t="n">
        <v>0.3157</v>
      </c>
      <c r="S3338">
        <f>IMAGE("https://mitra.stanford.edu/kundaje/oak/projects/neuro-variants/variant_position/credible/roussos_2024/variant_figures/roussos_2024.infant.GLU/rs2301009_count_position.png",4,220,900)</f>
        <v/>
      </c>
      <c r="T3338">
        <f>IMAGE("https://mitra.stanford.edu/kundaje/oak/projects/neuro-variants/variant_position/credible/roussos_2024/variant_figures/roussos_2024.infant.GLU/rs2301009_profile_position.png",4,220,900)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-0.0323137196</v>
      </c>
      <c r="G3339" t="n">
        <v>0.2981867660900834</v>
      </c>
      <c r="H3339" t="n">
        <v>0.0517598235025603</v>
      </c>
      <c r="I3339" t="n">
        <v>0.0064772041459606</v>
      </c>
      <c r="J3339" t="n">
        <v>0.0166758526422539</v>
      </c>
      <c r="K3339" t="n">
        <v>0.5710769445993196</v>
      </c>
      <c r="L3339" t="b">
        <v>1</v>
      </c>
      <c r="M3339" t="b">
        <v>0</v>
      </c>
      <c r="N3339" t="inlineStr">
        <is>
          <t>ref</t>
        </is>
      </c>
      <c r="O3339" t="n">
        <v>-75</v>
      </c>
      <c r="P3339" t="n">
        <v>0.006958</v>
      </c>
      <c r="Q3339" t="n">
        <v>-65</v>
      </c>
      <c r="R3339" t="n">
        <v>0.1039</v>
      </c>
      <c r="S3339">
        <f>IMAGE("https://mitra.stanford.edu/kundaje/oak/projects/neuro-variants/variant_position/credible/roussos_2024/variant_figures/roussos_2024.infant.GLU/rs1008661_count_position.png",4,220,900)</f>
        <v/>
      </c>
      <c r="T3339">
        <f>IMAGE("https://mitra.stanford.edu/kundaje/oak/projects/neuro-variants/variant_position/credible/roussos_2024/variant_figures/roussos_2024.infant.GLU/rs1008661_profile_position.png",4,220,900)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0.0744119954</v>
      </c>
      <c r="G3340" t="n">
        <v>0.08668946973101151</v>
      </c>
      <c r="H3340" t="n">
        <v>0.0096855410080415</v>
      </c>
      <c r="I3340" t="n">
        <v>0.7687290175578998</v>
      </c>
      <c r="J3340" t="n">
        <v>0.0418197050199519</v>
      </c>
      <c r="K3340" t="n">
        <v>0.3967637203210228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0.0751</v>
      </c>
      <c r="Q3340" t="n">
        <v>-100</v>
      </c>
      <c r="R3340" t="n">
        <v>0.07190000000000001</v>
      </c>
      <c r="S3340">
        <f>IMAGE("https://mitra.stanford.edu/kundaje/oak/projects/neuro-variants/variant_position/credible/roussos_2024/variant_figures/roussos_2024.infant.GLU/rs34052755_count_position.png",4,220,900)</f>
        <v/>
      </c>
      <c r="T3340">
        <f>IMAGE("https://mitra.stanford.edu/kundaje/oak/projects/neuro-variants/variant_position/credible/roussos_2024/variant_figures/roussos_2024.infant.GLU/rs34052755_profile_position.png",4,220,900)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-0.06865762266</v>
      </c>
      <c r="G3341" t="n">
        <v>0.1316926869457446</v>
      </c>
      <c r="H3341" t="n">
        <v>0.0138256495734696</v>
      </c>
      <c r="I3341" t="n">
        <v>0.4288076384115024</v>
      </c>
      <c r="J3341" t="n">
        <v>0.0105293326572454</v>
      </c>
      <c r="K3341" t="n">
        <v>0.6496885604538123</v>
      </c>
      <c r="L3341" t="b">
        <v>0</v>
      </c>
      <c r="M3341" t="b">
        <v>0</v>
      </c>
      <c r="N3341" t="inlineStr">
        <is>
          <t>ref</t>
        </is>
      </c>
      <c r="O3341" t="n">
        <v>-70</v>
      </c>
      <c r="P3341" t="n">
        <v>0.02199</v>
      </c>
      <c r="Q3341" t="n">
        <v>-95</v>
      </c>
      <c r="R3341" t="n">
        <v>0.116</v>
      </c>
      <c r="S3341">
        <f>IMAGE("https://mitra.stanford.edu/kundaje/oak/projects/neuro-variants/variant_position/credible/roussos_2024/variant_figures/roussos_2024.infant.GLU/rs4141495_count_position.png",4,220,900)</f>
        <v/>
      </c>
      <c r="T3341">
        <f>IMAGE("https://mitra.stanford.edu/kundaje/oak/projects/neuro-variants/variant_position/credible/roussos_2024/variant_figures/roussos_2024.infant.GLU/rs4141495_profile_position.png",4,220,900)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0.01124258032</v>
      </c>
      <c r="G3342" t="n">
        <v>0.6035723426630559</v>
      </c>
      <c r="H3342" t="n">
        <v>0.0095878343827793</v>
      </c>
      <c r="I3342" t="n">
        <v>0.7616422836897447</v>
      </c>
      <c r="J3342" t="n">
        <v>0.055274587182257</v>
      </c>
      <c r="K3342" t="n">
        <v>0.3202456570155219</v>
      </c>
      <c r="L3342" t="b">
        <v>0</v>
      </c>
      <c r="M3342" t="b">
        <v>0</v>
      </c>
      <c r="N3342" t="inlineStr">
        <is>
          <t>alt</t>
        </is>
      </c>
      <c r="O3342" t="n">
        <v>-100</v>
      </c>
      <c r="P3342" t="n">
        <v>0.0921</v>
      </c>
      <c r="Q3342" t="n">
        <v>-80</v>
      </c>
      <c r="R3342" t="n">
        <v>0.1387</v>
      </c>
      <c r="S3342">
        <f>IMAGE("https://mitra.stanford.edu/kundaje/oak/projects/neuro-variants/variant_position/credible/roussos_2024/variant_figures/roussos_2024.infant.GLU/rs10515405_count_position.png",4,220,900)</f>
        <v/>
      </c>
      <c r="T3342">
        <f>IMAGE("https://mitra.stanford.edu/kundaje/oak/projects/neuro-variants/variant_position/credible/roussos_2024/variant_figures/roussos_2024.infant.GLU/rs10515405_profile_position.png",4,220,900)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-0.01814660012</v>
      </c>
      <c r="G3343" t="n">
        <v>0.2642852849651587</v>
      </c>
      <c r="H3343" t="n">
        <v>0.016358552407304</v>
      </c>
      <c r="I3343" t="n">
        <v>0.3031006326181691</v>
      </c>
      <c r="J3343" t="n">
        <v>0.3060252651072554</v>
      </c>
      <c r="K3343" t="n">
        <v>0.0663189361963923</v>
      </c>
      <c r="L3343" t="b">
        <v>0</v>
      </c>
      <c r="M3343" t="b">
        <v>0</v>
      </c>
      <c r="N3343" t="inlineStr">
        <is>
          <t>ref</t>
        </is>
      </c>
      <c r="O3343" t="n">
        <v>100</v>
      </c>
      <c r="P3343" t="n">
        <v>0.01123</v>
      </c>
      <c r="Q3343" t="n">
        <v>-50</v>
      </c>
      <c r="R3343" t="n">
        <v>0.04248</v>
      </c>
      <c r="S3343">
        <f>IMAGE("https://mitra.stanford.edu/kundaje/oak/projects/neuro-variants/variant_position/credible/roussos_2024/variant_figures/roussos_2024.infant.GLU/rs12518625_count_position.png",4,220,900)</f>
        <v/>
      </c>
      <c r="T3343">
        <f>IMAGE("https://mitra.stanford.edu/kundaje/oak/projects/neuro-variants/variant_position/credible/roussos_2024/variant_figures/roussos_2024.infant.GLU/rs12518625_profile_position.png",4,220,900)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0.0574363884</v>
      </c>
      <c r="G3344" t="n">
        <v>0.1414845069966186</v>
      </c>
      <c r="H3344" t="n">
        <v>0.0217420127399841</v>
      </c>
      <c r="I3344" t="n">
        <v>0.1489532348533513</v>
      </c>
      <c r="J3344" t="n">
        <v>0.0149716704512885</v>
      </c>
      <c r="K3344" t="n">
        <v>0.6090213342998864</v>
      </c>
      <c r="L3344" t="b">
        <v>0</v>
      </c>
      <c r="M3344" t="b">
        <v>0</v>
      </c>
      <c r="N3344" t="inlineStr">
        <is>
          <t>alt</t>
        </is>
      </c>
      <c r="O3344" t="n">
        <v>5</v>
      </c>
      <c r="P3344" t="n">
        <v>0.001965</v>
      </c>
      <c r="Q3344" t="n">
        <v>-35</v>
      </c>
      <c r="R3344" t="n">
        <v>0.03903</v>
      </c>
      <c r="S3344">
        <f>IMAGE("https://mitra.stanford.edu/kundaje/oak/projects/neuro-variants/variant_position/credible/roussos_2024/variant_figures/roussos_2024.infant.GLU/rs10065099_count_position.png",4,220,900)</f>
        <v/>
      </c>
      <c r="T3344">
        <f>IMAGE("https://mitra.stanford.edu/kundaje/oak/projects/neuro-variants/variant_position/credible/roussos_2024/variant_figures/roussos_2024.infant.GLU/rs10065099_profile_position.png",4,220,900)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0.0412018768</v>
      </c>
      <c r="G3345" t="n">
        <v>0.2216476305361757</v>
      </c>
      <c r="H3345" t="n">
        <v>0.013729273101013</v>
      </c>
      <c r="I3345" t="n">
        <v>0.4398388884891889</v>
      </c>
      <c r="J3345" t="n">
        <v>0.0686963998324477</v>
      </c>
      <c r="K3345" t="n">
        <v>0.2782373721683361</v>
      </c>
      <c r="L3345" t="b">
        <v>0</v>
      </c>
      <c r="M3345" t="b">
        <v>0</v>
      </c>
      <c r="N3345" t="inlineStr">
        <is>
          <t>alt</t>
        </is>
      </c>
      <c r="O3345" t="n">
        <v>95</v>
      </c>
      <c r="P3345" t="n">
        <v>0.1194</v>
      </c>
      <c r="Q3345" t="n">
        <v>-95</v>
      </c>
      <c r="R3345" t="n">
        <v>0.1162</v>
      </c>
      <c r="S3345">
        <f>IMAGE("https://mitra.stanford.edu/kundaje/oak/projects/neuro-variants/variant_position/credible/roussos_2024/variant_figures/roussos_2024.infant.GLU/rs17162347_count_position.png",4,220,900)</f>
        <v/>
      </c>
      <c r="T3345">
        <f>IMAGE("https://mitra.stanford.edu/kundaje/oak/projects/neuro-variants/variant_position/credible/roussos_2024/variant_figures/roussos_2024.infant.GLU/rs17162347_profile_position.png",4,220,900)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-0.01179728218</v>
      </c>
      <c r="G3346" t="n">
        <v>0.5667626624419931</v>
      </c>
      <c r="H3346" t="n">
        <v>0.0551222403465743</v>
      </c>
      <c r="I3346" t="n">
        <v>0.004808582062468</v>
      </c>
      <c r="J3346" t="n">
        <v>0.1739500429903657</v>
      </c>
      <c r="K3346" t="n">
        <v>0.1279289225830375</v>
      </c>
      <c r="L3346" t="b">
        <v>1</v>
      </c>
      <c r="M3346" t="b">
        <v>1</v>
      </c>
      <c r="N3346" t="inlineStr">
        <is>
          <t>ref</t>
        </is>
      </c>
      <c r="O3346" t="n">
        <v>-10</v>
      </c>
      <c r="P3346" t="n">
        <v>0.002563</v>
      </c>
      <c r="Q3346" t="n">
        <v>-100</v>
      </c>
      <c r="R3346" t="n">
        <v>0.1517</v>
      </c>
      <c r="S3346">
        <f>IMAGE("https://mitra.stanford.edu/kundaje/oak/projects/neuro-variants/variant_position/credible/roussos_2024/variant_figures/roussos_2024.infant.GLU/rs12187114_count_position.png",4,220,900)</f>
        <v/>
      </c>
      <c r="T3346">
        <f>IMAGE("https://mitra.stanford.edu/kundaje/oak/projects/neuro-variants/variant_position/credible/roussos_2024/variant_figures/roussos_2024.infant.GLU/rs12187114_profile_position.png",4,220,900)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-0.00575380514</v>
      </c>
      <c r="G3347" t="n">
        <v>0.7315742342818863</v>
      </c>
      <c r="H3347" t="n">
        <v>0.0226015085540212</v>
      </c>
      <c r="I3347" t="n">
        <v>0.1330727259885818</v>
      </c>
      <c r="J3347" t="n">
        <v>0.1679148570294759</v>
      </c>
      <c r="K3347" t="n">
        <v>0.1323884825944772</v>
      </c>
      <c r="L3347" t="b">
        <v>0</v>
      </c>
      <c r="M3347" t="b">
        <v>0</v>
      </c>
      <c r="N3347" t="inlineStr">
        <is>
          <t>ref</t>
        </is>
      </c>
      <c r="O3347" t="n">
        <v>-25</v>
      </c>
      <c r="P3347" t="n">
        <v>0.01007</v>
      </c>
      <c r="Q3347" t="n">
        <v>100</v>
      </c>
      <c r="R3347" t="n">
        <v>0.1388</v>
      </c>
      <c r="S3347">
        <f>IMAGE("https://mitra.stanford.edu/kundaje/oak/projects/neuro-variants/variant_position/credible/roussos_2024/variant_figures/roussos_2024.infant.GLU/rs11241042_count_position.png",4,220,900)</f>
        <v/>
      </c>
      <c r="T3347">
        <f>IMAGE("https://mitra.stanford.edu/kundaje/oak/projects/neuro-variants/variant_position/credible/roussos_2024/variant_figures/roussos_2024.infant.GLU/rs11241042_profile_position.png",4,220,900)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0.0677486264</v>
      </c>
      <c r="G3348" t="n">
        <v>0.0992706436681693</v>
      </c>
      <c r="H3348" t="n">
        <v>0.0109409327217179</v>
      </c>
      <c r="I3348" t="n">
        <v>0.6298553014306612</v>
      </c>
      <c r="J3348" t="n">
        <v>0.0272834498115037</v>
      </c>
      <c r="K3348" t="n">
        <v>0.4772431352249418</v>
      </c>
      <c r="L3348" t="b">
        <v>0</v>
      </c>
      <c r="M3348" t="b">
        <v>0</v>
      </c>
      <c r="N3348" t="inlineStr">
        <is>
          <t>alt</t>
        </is>
      </c>
      <c r="O3348" t="n">
        <v>-45</v>
      </c>
      <c r="P3348" t="n">
        <v>0.002045</v>
      </c>
      <c r="Q3348" t="n">
        <v>55</v>
      </c>
      <c r="R3348" t="n">
        <v>0.05646</v>
      </c>
      <c r="S3348">
        <f>IMAGE("https://mitra.stanford.edu/kundaje/oak/projects/neuro-variants/variant_position/credible/roussos_2024/variant_figures/roussos_2024.infant.GLU/rs12656279_count_position.png",4,220,900)</f>
        <v/>
      </c>
      <c r="T3348">
        <f>IMAGE("https://mitra.stanford.edu/kundaje/oak/projects/neuro-variants/variant_position/credible/roussos_2024/variant_figures/roussos_2024.infant.GLU/rs12656279_profile_position.png",4,220,900)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-0.0015374700239999</v>
      </c>
      <c r="G3349" t="n">
        <v>0.9101160428787528</v>
      </c>
      <c r="H3349" t="n">
        <v>0.03028584489746</v>
      </c>
      <c r="I3349" t="n">
        <v>0.0562138848090295</v>
      </c>
      <c r="J3349" t="n">
        <v>0.0135662161864238</v>
      </c>
      <c r="K3349" t="n">
        <v>0.6152682409807897</v>
      </c>
      <c r="L3349" t="b">
        <v>0</v>
      </c>
      <c r="M3349" t="b">
        <v>0</v>
      </c>
      <c r="N3349" t="inlineStr">
        <is>
          <t>ref</t>
        </is>
      </c>
      <c r="O3349" t="n">
        <v>-100</v>
      </c>
      <c r="P3349" t="n">
        <v>0.02039</v>
      </c>
      <c r="Q3349" t="n">
        <v>-100</v>
      </c>
      <c r="R3349" t="n">
        <v>0.07684000000000001</v>
      </c>
      <c r="S3349">
        <f>IMAGE("https://mitra.stanford.edu/kundaje/oak/projects/neuro-variants/variant_position/credible/roussos_2024/variant_figures/roussos_2024.infant.GLU/rs6888436_count_position.png",4,220,900)</f>
        <v/>
      </c>
      <c r="T3349">
        <f>IMAGE("https://mitra.stanford.edu/kundaje/oak/projects/neuro-variants/variant_position/credible/roussos_2024/variant_figures/roussos_2024.infant.GLU/rs6888436_profile_position.png",4,220,900)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0.030966529</v>
      </c>
      <c r="G3350" t="n">
        <v>0.3126321026966016</v>
      </c>
      <c r="H3350" t="n">
        <v>0.0158707892111016</v>
      </c>
      <c r="I3350" t="n">
        <v>0.322567465662447</v>
      </c>
      <c r="J3350" t="n">
        <v>0.0526003659692673</v>
      </c>
      <c r="K3350" t="n">
        <v>0.3389000406831033</v>
      </c>
      <c r="L3350" t="b">
        <v>0</v>
      </c>
      <c r="M3350" t="b">
        <v>0</v>
      </c>
      <c r="N3350" t="inlineStr">
        <is>
          <t>alt</t>
        </is>
      </c>
      <c r="O3350" t="n">
        <v>-100</v>
      </c>
      <c r="P3350" t="n">
        <v>0.00772</v>
      </c>
      <c r="Q3350" t="n">
        <v>-40</v>
      </c>
      <c r="R3350" t="n">
        <v>0.04883</v>
      </c>
      <c r="S3350">
        <f>IMAGE("https://mitra.stanford.edu/kundaje/oak/projects/neuro-variants/variant_position/credible/roussos_2024/variant_figures/roussos_2024.infant.GLU/rs1848554_count_position.png",4,220,900)</f>
        <v/>
      </c>
      <c r="T3350">
        <f>IMAGE("https://mitra.stanford.edu/kundaje/oak/projects/neuro-variants/variant_position/credible/roussos_2024/variant_figures/roussos_2024.infant.GLU/rs1848554_profile_position.png",4,220,900)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0.0300581586</v>
      </c>
      <c r="G3351" t="n">
        <v>0.309401377332786</v>
      </c>
      <c r="H3351" t="n">
        <v>0.0301326487733498</v>
      </c>
      <c r="I3351" t="n">
        <v>0.0565836487436939</v>
      </c>
      <c r="J3351" t="n">
        <v>0.3293161224894728</v>
      </c>
      <c r="K3351" t="n">
        <v>0.0601672267504633</v>
      </c>
      <c r="L3351" t="b">
        <v>0</v>
      </c>
      <c r="M3351" t="b">
        <v>0</v>
      </c>
      <c r="N3351" t="inlineStr">
        <is>
          <t>alt</t>
        </is>
      </c>
      <c r="O3351" t="n">
        <v>-90</v>
      </c>
      <c r="P3351" t="n">
        <v>0.05127</v>
      </c>
      <c r="Q3351" t="n">
        <v>-100</v>
      </c>
      <c r="R3351" t="n">
        <v>0.581</v>
      </c>
      <c r="S3351">
        <f>IMAGE("https://mitra.stanford.edu/kundaje/oak/projects/neuro-variants/variant_position/credible/roussos_2024/variant_figures/roussos_2024.infant.GLU/rs32643_count_position.png",4,220,900)</f>
        <v/>
      </c>
      <c r="T3351">
        <f>IMAGE("https://mitra.stanford.edu/kundaje/oak/projects/neuro-variants/variant_position/credible/roussos_2024/variant_figures/roussos_2024.infant.GLU/rs32643_profile_position.png",4,220,900)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0.1374355796</v>
      </c>
      <c r="G3352" t="n">
        <v>0.0289257186469239</v>
      </c>
      <c r="H3352" t="n">
        <v>0.0497413277207081</v>
      </c>
      <c r="I3352" t="n">
        <v>0.008165455738282699</v>
      </c>
      <c r="J3352" t="n">
        <v>0.1245618289644833</v>
      </c>
      <c r="K3352" t="n">
        <v>0.1736059772837367</v>
      </c>
      <c r="L3352" t="b">
        <v>1</v>
      </c>
      <c r="M3352" t="b">
        <v>1</v>
      </c>
      <c r="N3352" t="inlineStr">
        <is>
          <t>alt</t>
        </is>
      </c>
      <c r="O3352" t="n">
        <v>-100</v>
      </c>
      <c r="P3352" t="n">
        <v>0.01826</v>
      </c>
      <c r="Q3352" t="n">
        <v>-100</v>
      </c>
      <c r="R3352" t="n">
        <v>0.07290000000000001</v>
      </c>
      <c r="S3352">
        <f>IMAGE("https://mitra.stanford.edu/kundaje/oak/projects/neuro-variants/variant_position/credible/roussos_2024/variant_figures/roussos_2024.infant.GLU/rs11956061_count_position.png",4,220,900)</f>
        <v/>
      </c>
      <c r="T3352">
        <f>IMAGE("https://mitra.stanford.edu/kundaje/oak/projects/neuro-variants/variant_position/credible/roussos_2024/variant_figures/roussos_2024.infant.GLU/rs11956061_profile_position.png",4,220,900)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0.000377831972</v>
      </c>
      <c r="G3353" t="n">
        <v>0.8241192280355025</v>
      </c>
      <c r="H3353" t="n">
        <v>0.0108219253260923</v>
      </c>
      <c r="I3353" t="n">
        <v>0.6577954599749136</v>
      </c>
      <c r="J3353" t="n">
        <v>0.4451442933045261</v>
      </c>
      <c r="K3353" t="n">
        <v>0.0383041305781092</v>
      </c>
      <c r="L3353" t="b">
        <v>0</v>
      </c>
      <c r="M3353" t="b">
        <v>0</v>
      </c>
      <c r="N3353" t="inlineStr">
        <is>
          <t>alt</t>
        </is>
      </c>
      <c r="O3353" t="n">
        <v>75</v>
      </c>
      <c r="P3353" t="n">
        <v>0.01903</v>
      </c>
      <c r="Q3353" t="n">
        <v>-95</v>
      </c>
      <c r="R3353" t="n">
        <v>0.4258</v>
      </c>
      <c r="S3353">
        <f>IMAGE("https://mitra.stanford.edu/kundaje/oak/projects/neuro-variants/variant_position/credible/roussos_2024/variant_figures/roussos_2024.infant.GLU/rs4836307_count_position.png",4,220,900)</f>
        <v/>
      </c>
      <c r="T3353">
        <f>IMAGE("https://mitra.stanford.edu/kundaje/oak/projects/neuro-variants/variant_position/credible/roussos_2024/variant_figures/roussos_2024.infant.GLU/rs4836307_profile_position.png",4,220,900)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-0.0028338418</v>
      </c>
      <c r="G3354" t="n">
        <v>0.763104203286424</v>
      </c>
      <c r="H3354" t="n">
        <v>0.0105657947995603</v>
      </c>
      <c r="I3354" t="n">
        <v>0.6883531808866316</v>
      </c>
      <c r="J3354" t="n">
        <v>0.009720231927511499</v>
      </c>
      <c r="K3354" t="n">
        <v>0.6963823741971777</v>
      </c>
      <c r="L3354" t="b">
        <v>0</v>
      </c>
      <c r="M3354" t="b">
        <v>0</v>
      </c>
      <c r="N3354" t="inlineStr">
        <is>
          <t>ref</t>
        </is>
      </c>
      <c r="O3354" t="n">
        <v>35</v>
      </c>
      <c r="P3354" t="n">
        <v>0.00839</v>
      </c>
      <c r="Q3354" t="n">
        <v>95</v>
      </c>
      <c r="R3354" t="n">
        <v>0.03476</v>
      </c>
      <c r="S3354">
        <f>IMAGE("https://mitra.stanford.edu/kundaje/oak/projects/neuro-variants/variant_position/credible/roussos_2024/variant_figures/roussos_2024.infant.GLU/rs12657369_count_position.png",4,220,900)</f>
        <v/>
      </c>
      <c r="T3354">
        <f>IMAGE("https://mitra.stanford.edu/kundaje/oak/projects/neuro-variants/variant_position/credible/roussos_2024/variant_figures/roussos_2024.infant.GLU/rs12657369_profile_position.png",4,220,900)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0.0092179358</v>
      </c>
      <c r="G3355" t="n">
        <v>0.4695486210388224</v>
      </c>
      <c r="H3355" t="n">
        <v>0.0149582131903126</v>
      </c>
      <c r="I3355" t="n">
        <v>0.3623646407618105</v>
      </c>
      <c r="J3355" t="n">
        <v>0.5998963821953748</v>
      </c>
      <c r="K3355" t="n">
        <v>0.021121178491838</v>
      </c>
      <c r="L3355" t="b">
        <v>0</v>
      </c>
      <c r="M3355" t="b">
        <v>0</v>
      </c>
      <c r="N3355" t="inlineStr">
        <is>
          <t>alt</t>
        </is>
      </c>
      <c r="O3355" t="n">
        <v>95</v>
      </c>
      <c r="P3355" t="n">
        <v>0.00927</v>
      </c>
      <c r="Q3355" t="n">
        <v>-95</v>
      </c>
      <c r="R3355" t="n">
        <v>0.0786</v>
      </c>
      <c r="S3355">
        <f>IMAGE("https://mitra.stanford.edu/kundaje/oak/projects/neuro-variants/variant_position/credible/roussos_2024/variant_figures/roussos_2024.infant.GLU/rs10057084_count_position.png",4,220,900)</f>
        <v/>
      </c>
      <c r="T3355">
        <f>IMAGE("https://mitra.stanford.edu/kundaje/oak/projects/neuro-variants/variant_position/credible/roussos_2024/variant_figures/roussos_2024.infant.GLU/rs10057084_profile_position.png",4,220,900)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-0.0660379104</v>
      </c>
      <c r="G3356" t="n">
        <v>0.1183932434237903</v>
      </c>
      <c r="H3356" t="n">
        <v>0.0176418985741826</v>
      </c>
      <c r="I3356" t="n">
        <v>0.2506901873210606</v>
      </c>
      <c r="J3356" t="n">
        <v>0.19403315769748</v>
      </c>
      <c r="K3356" t="n">
        <v>0.1138993176280867</v>
      </c>
      <c r="L3356" t="b">
        <v>0</v>
      </c>
      <c r="M3356" t="b">
        <v>0</v>
      </c>
      <c r="N3356" t="inlineStr">
        <is>
          <t>ref</t>
        </is>
      </c>
      <c r="O3356" t="n">
        <v>-100</v>
      </c>
      <c r="P3356" t="n">
        <v>0.01222</v>
      </c>
      <c r="Q3356" t="n">
        <v>90</v>
      </c>
      <c r="R3356" t="n">
        <v>0.1497</v>
      </c>
      <c r="S3356">
        <f>IMAGE("https://mitra.stanford.edu/kundaje/oak/projects/neuro-variants/variant_position/credible/roussos_2024/variant_figures/roussos_2024.infant.GLU/rs9327428_count_position.png",4,220,900)</f>
        <v/>
      </c>
      <c r="T3356">
        <f>IMAGE("https://mitra.stanford.edu/kundaje/oak/projects/neuro-variants/variant_position/credible/roussos_2024/variant_figures/roussos_2024.infant.GLU/rs9327428_profile_position.png",4,220,900)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-0.0616748699999999</v>
      </c>
      <c r="G3357" t="n">
        <v>0.1201410837145259</v>
      </c>
      <c r="H3357" t="n">
        <v>0.0574045220080526</v>
      </c>
      <c r="I3357" t="n">
        <v>0.0039278311519392</v>
      </c>
      <c r="J3357" t="n">
        <v>0.0629599417976586</v>
      </c>
      <c r="K3357" t="n">
        <v>0.2913140616162388</v>
      </c>
      <c r="L3357" t="b">
        <v>1</v>
      </c>
      <c r="M3357" t="b">
        <v>1</v>
      </c>
      <c r="N3357" t="inlineStr">
        <is>
          <t>ref</t>
        </is>
      </c>
      <c r="O3357" t="n">
        <v>-40</v>
      </c>
      <c r="P3357" t="n">
        <v>0.00598</v>
      </c>
      <c r="Q3357" t="n">
        <v>65</v>
      </c>
      <c r="R3357" t="n">
        <v>0.0834</v>
      </c>
      <c r="S3357">
        <f>IMAGE("https://mitra.stanford.edu/kundaje/oak/projects/neuro-variants/variant_position/credible/roussos_2024/variant_figures/roussos_2024.infant.GLU/rs2108458_count_position.png",4,220,900)</f>
        <v/>
      </c>
      <c r="T3357">
        <f>IMAGE("https://mitra.stanford.edu/kundaje/oak/projects/neuro-variants/variant_position/credible/roussos_2024/variant_figures/roussos_2024.infant.GLU/rs2108458_profile_position.png",4,220,900)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-0.0511193726</v>
      </c>
      <c r="G3358" t="n">
        <v>0.1668751076805349</v>
      </c>
      <c r="H3358" t="n">
        <v>0.0148729180270013</v>
      </c>
      <c r="I3358" t="n">
        <v>0.3711219895332829</v>
      </c>
      <c r="J3358" t="n">
        <v>0.1975660839083754</v>
      </c>
      <c r="K3358" t="n">
        <v>0.1102399390697396</v>
      </c>
      <c r="L3358" t="b">
        <v>0</v>
      </c>
      <c r="M3358" t="b">
        <v>0</v>
      </c>
      <c r="N3358" t="inlineStr">
        <is>
          <t>ref</t>
        </is>
      </c>
      <c r="O3358" t="n">
        <v>-90</v>
      </c>
      <c r="P3358" t="n">
        <v>0.03693</v>
      </c>
      <c r="Q3358" t="n">
        <v>-90</v>
      </c>
      <c r="R3358" t="n">
        <v>0.06055</v>
      </c>
      <c r="S3358">
        <f>IMAGE("https://mitra.stanford.edu/kundaje/oak/projects/neuro-variants/variant_position/credible/roussos_2024/variant_figures/roussos_2024.infant.GLU/rs7706333_count_position.png",4,220,900)</f>
        <v/>
      </c>
      <c r="T3358">
        <f>IMAGE("https://mitra.stanford.edu/kundaje/oak/projects/neuro-variants/variant_position/credible/roussos_2024/variant_figures/roussos_2024.infant.GLU/rs7706333_profile_position.png",4,220,900)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-0.0460886724</v>
      </c>
      <c r="G3359" t="n">
        <v>0.193144212178114</v>
      </c>
      <c r="H3359" t="n">
        <v>0.0109422238160487</v>
      </c>
      <c r="I3359" t="n">
        <v>0.6471687523514649</v>
      </c>
      <c r="J3359" t="n">
        <v>0.0887905377102669</v>
      </c>
      <c r="K3359" t="n">
        <v>0.2348124127220176</v>
      </c>
      <c r="L3359" t="b">
        <v>0</v>
      </c>
      <c r="M3359" t="b">
        <v>0</v>
      </c>
      <c r="N3359" t="inlineStr">
        <is>
          <t>ref</t>
        </is>
      </c>
      <c r="O3359" t="n">
        <v>100</v>
      </c>
      <c r="P3359" t="n">
        <v>0.015114</v>
      </c>
      <c r="Q3359" t="n">
        <v>-70</v>
      </c>
      <c r="R3359" t="n">
        <v>0.05853</v>
      </c>
      <c r="S3359">
        <f>IMAGE("https://mitra.stanford.edu/kundaje/oak/projects/neuro-variants/variant_position/credible/roussos_2024/variant_figures/roussos_2024.infant.GLU/rs1013662_count_position.png",4,220,900)</f>
        <v/>
      </c>
      <c r="T3359">
        <f>IMAGE("https://mitra.stanford.edu/kundaje/oak/projects/neuro-variants/variant_position/credible/roussos_2024/variant_figures/roussos_2024.infant.GLU/rs1013662_profile_position.png",4,220,900)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0.0451744374</v>
      </c>
      <c r="G3360" t="n">
        <v>0.1874646853276591</v>
      </c>
      <c r="H3360" t="n">
        <v>0.015462263260273</v>
      </c>
      <c r="I3360" t="n">
        <v>0.3421100195554549</v>
      </c>
      <c r="J3360" t="n">
        <v>0.0926960470909852</v>
      </c>
      <c r="K3360" t="n">
        <v>0.2283826908626259</v>
      </c>
      <c r="L3360" t="b">
        <v>0</v>
      </c>
      <c r="M3360" t="b">
        <v>0</v>
      </c>
      <c r="N3360" t="inlineStr">
        <is>
          <t>alt</t>
        </is>
      </c>
      <c r="O3360" t="n">
        <v>100</v>
      </c>
      <c r="P3360" t="n">
        <v>0.00818</v>
      </c>
      <c r="Q3360" t="n">
        <v>100</v>
      </c>
      <c r="R3360" t="n">
        <v>0.2793</v>
      </c>
      <c r="S3360">
        <f>IMAGE("https://mitra.stanford.edu/kundaje/oak/projects/neuro-variants/variant_position/credible/roussos_2024/variant_figures/roussos_2024.infant.GLU/rs6899133_count_position.png",4,220,900)</f>
        <v/>
      </c>
      <c r="T3360">
        <f>IMAGE("https://mitra.stanford.edu/kundaje/oak/projects/neuro-variants/variant_position/credible/roussos_2024/variant_figures/roussos_2024.infant.GLU/rs6899133_profile_position.png",4,220,900)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-0.07165582699999989</v>
      </c>
      <c r="G3361" t="n">
        <v>0.0935978846326626</v>
      </c>
      <c r="H3361" t="n">
        <v>0.0208148181852192</v>
      </c>
      <c r="I3361" t="n">
        <v>0.1672148513720362</v>
      </c>
      <c r="J3361" t="n">
        <v>0.7655779448400539</v>
      </c>
      <c r="K3361" t="n">
        <v>0.0101006255852651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0.00605</v>
      </c>
      <c r="Q3361" t="n">
        <v>-50</v>
      </c>
      <c r="R3361" t="n">
        <v>0.09959999999999999</v>
      </c>
      <c r="S3361">
        <f>IMAGE("https://mitra.stanford.edu/kundaje/oak/projects/neuro-variants/variant_position/credible/roussos_2024/variant_figures/roussos_2024.infant.GLU/rs13154281_count_position.png",4,220,900)</f>
        <v/>
      </c>
      <c r="T3361">
        <f>IMAGE("https://mitra.stanford.edu/kundaje/oak/projects/neuro-variants/variant_position/credible/roussos_2024/variant_figures/roussos_2024.infant.GLU/rs13154281_profile_position.png",4,220,900)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-0.334917466</v>
      </c>
      <c r="G3362" t="n">
        <v>0.0020687147183383</v>
      </c>
      <c r="H3362" t="n">
        <v>0.0539815678023736</v>
      </c>
      <c r="I3362" t="n">
        <v>0.0052729221941768</v>
      </c>
      <c r="J3362" t="n">
        <v>0.0559249542538415</v>
      </c>
      <c r="K3362" t="n">
        <v>0.3316190667131318</v>
      </c>
      <c r="L3362" t="b">
        <v>1</v>
      </c>
      <c r="M3362" t="b">
        <v>1</v>
      </c>
      <c r="N3362" t="inlineStr">
        <is>
          <t>ref</t>
        </is>
      </c>
      <c r="O3362" t="n">
        <v>-40</v>
      </c>
      <c r="P3362" t="n">
        <v>0.001465</v>
      </c>
      <c r="Q3362" t="n">
        <v>0</v>
      </c>
      <c r="R3362" t="n">
        <v>0</v>
      </c>
      <c r="S3362">
        <f>IMAGE("https://mitra.stanford.edu/kundaje/oak/projects/neuro-variants/variant_position/credible/roussos_2024/variant_figures/roussos_2024.infant.GLU/rs2191209_count_position.png",4,220,900)</f>
        <v/>
      </c>
      <c r="T3362">
        <f>IMAGE("https://mitra.stanford.edu/kundaje/oak/projects/neuro-variants/variant_position/credible/roussos_2024/variant_figures/roussos_2024.infant.GLU/rs2191209_profile_position.png",4,220,900)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-0.121727666</v>
      </c>
      <c r="G3363" t="n">
        <v>0.0337932190434702</v>
      </c>
      <c r="H3363" t="n">
        <v>0.0145991252684098</v>
      </c>
      <c r="I3363" t="n">
        <v>0.3864080880396477</v>
      </c>
      <c r="J3363" t="n">
        <v>0.0236921007958728</v>
      </c>
      <c r="K3363" t="n">
        <v>0.5054640329732335</v>
      </c>
      <c r="L3363" t="b">
        <v>0</v>
      </c>
      <c r="M3363" t="b">
        <v>0</v>
      </c>
      <c r="N3363" t="inlineStr">
        <is>
          <t>ref</t>
        </is>
      </c>
      <c r="O3363" t="n">
        <v>-10</v>
      </c>
      <c r="P3363" t="n">
        <v>0.001869</v>
      </c>
      <c r="Q3363" t="n">
        <v>80</v>
      </c>
      <c r="R3363" t="n">
        <v>0.06934</v>
      </c>
      <c r="S3363">
        <f>IMAGE("https://mitra.stanford.edu/kundaje/oak/projects/neuro-variants/variant_position/credible/roussos_2024/variant_figures/roussos_2024.infant.GLU/rs7731621_count_position.png",4,220,900)</f>
        <v/>
      </c>
      <c r="T3363">
        <f>IMAGE("https://mitra.stanford.edu/kundaje/oak/projects/neuro-variants/variant_position/credible/roussos_2024/variant_figures/roussos_2024.infant.GLU/rs7731621_profile_position.png",4,220,900)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-0.00593937458</v>
      </c>
      <c r="G3364" t="n">
        <v>0.756953444357456</v>
      </c>
      <c r="H3364" t="n">
        <v>0.0110497911632967</v>
      </c>
      <c r="I3364" t="n">
        <v>0.6408024323485966</v>
      </c>
      <c r="J3364" t="n">
        <v>0.0311713221190942</v>
      </c>
      <c r="K3364" t="n">
        <v>0.4615343161030796</v>
      </c>
      <c r="L3364" t="b">
        <v>0</v>
      </c>
      <c r="M3364" t="b">
        <v>0</v>
      </c>
      <c r="N3364" t="inlineStr">
        <is>
          <t>ref</t>
        </is>
      </c>
      <c r="O3364" t="n">
        <v>0</v>
      </c>
      <c r="P3364" t="n">
        <v>0</v>
      </c>
      <c r="Q3364" t="n">
        <v>100</v>
      </c>
      <c r="R3364" t="n">
        <v>0.133</v>
      </c>
      <c r="S3364">
        <f>IMAGE("https://mitra.stanford.edu/kundaje/oak/projects/neuro-variants/variant_position/credible/roussos_2024/variant_figures/roussos_2024.infant.GLU/rs13190493_count_position.png",4,220,900)</f>
        <v/>
      </c>
      <c r="T3364">
        <f>IMAGE("https://mitra.stanford.edu/kundaje/oak/projects/neuro-variants/variant_position/credible/roussos_2024/variant_figures/roussos_2024.infant.GLU/rs13190493_profile_position.png",4,220,900)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0.027238017058</v>
      </c>
      <c r="G3365" t="n">
        <v>0.3445392933291402</v>
      </c>
      <c r="H3365" t="n">
        <v>0.0113624202566158</v>
      </c>
      <c r="I3365" t="n">
        <v>0.6023860401994187</v>
      </c>
      <c r="J3365" t="n">
        <v>0.0933287770894419</v>
      </c>
      <c r="K3365" t="n">
        <v>0.2320013890166659</v>
      </c>
      <c r="L3365" t="b">
        <v>0</v>
      </c>
      <c r="M3365" t="b">
        <v>0</v>
      </c>
      <c r="N3365" t="inlineStr">
        <is>
          <t>alt</t>
        </is>
      </c>
      <c r="O3365" t="n">
        <v>-95</v>
      </c>
      <c r="P3365" t="n">
        <v>0.00359</v>
      </c>
      <c r="Q3365" t="n">
        <v>-100</v>
      </c>
      <c r="R3365" t="n">
        <v>0.1489</v>
      </c>
      <c r="S3365">
        <f>IMAGE("https://mitra.stanford.edu/kundaje/oak/projects/neuro-variants/variant_position/credible/roussos_2024/variant_figures/roussos_2024.infant.GLU/rs248081_count_position.png",4,220,900)</f>
        <v/>
      </c>
      <c r="T3365">
        <f>IMAGE("https://mitra.stanford.edu/kundaje/oak/projects/neuro-variants/variant_position/credible/roussos_2024/variant_figures/roussos_2024.infant.GLU/rs248081_profile_position.png",4,220,900)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0.0403453463999999</v>
      </c>
      <c r="G3366" t="n">
        <v>0.222889430284679</v>
      </c>
      <c r="H3366" t="n">
        <v>0.0137329885769237</v>
      </c>
      <c r="I3366" t="n">
        <v>0.4329591928631901</v>
      </c>
      <c r="J3366" t="n">
        <v>0.0648041182565752</v>
      </c>
      <c r="K3366" t="n">
        <v>0.2844692331614248</v>
      </c>
      <c r="L3366" t="b">
        <v>0</v>
      </c>
      <c r="M3366" t="b">
        <v>0</v>
      </c>
      <c r="N3366" t="inlineStr">
        <is>
          <t>alt</t>
        </is>
      </c>
      <c r="O3366" t="n">
        <v>-5</v>
      </c>
      <c r="P3366" t="n">
        <v>0.0008087</v>
      </c>
      <c r="Q3366" t="n">
        <v>70</v>
      </c>
      <c r="R3366" t="n">
        <v>0.2216</v>
      </c>
      <c r="S3366">
        <f>IMAGE("https://mitra.stanford.edu/kundaje/oak/projects/neuro-variants/variant_position/credible/roussos_2024/variant_figures/roussos_2024.infant.GLU/rs248090_count_position.png",4,220,900)</f>
        <v/>
      </c>
      <c r="T3366">
        <f>IMAGE("https://mitra.stanford.edu/kundaje/oak/projects/neuro-variants/variant_position/credible/roussos_2024/variant_figures/roussos_2024.infant.GLU/rs248090_profile_position.png",4,220,900)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0.210384358</v>
      </c>
      <c r="G3367" t="n">
        <v>0.0089293351095945</v>
      </c>
      <c r="H3367" t="n">
        <v>0.0279611535022541</v>
      </c>
      <c r="I3367" t="n">
        <v>0.0737755778087255</v>
      </c>
      <c r="J3367" t="n">
        <v>0.0403062236821798</v>
      </c>
      <c r="K3367" t="n">
        <v>0.3962379161998046</v>
      </c>
      <c r="L3367" t="b">
        <v>1</v>
      </c>
      <c r="M3367" t="b">
        <v>1</v>
      </c>
      <c r="N3367" t="inlineStr">
        <is>
          <t>alt</t>
        </is>
      </c>
      <c r="O3367" t="n">
        <v>10</v>
      </c>
      <c r="P3367" t="n">
        <v>0.002846</v>
      </c>
      <c r="Q3367" t="n">
        <v>45</v>
      </c>
      <c r="R3367" t="n">
        <v>0.08996999999999999</v>
      </c>
      <c r="S3367">
        <f>IMAGE("https://mitra.stanford.edu/kundaje/oak/projects/neuro-variants/variant_position/credible/roussos_2024/variant_figures/roussos_2024.infant.GLU/rs248104_count_position.png",4,220,900)</f>
        <v/>
      </c>
      <c r="T3367">
        <f>IMAGE("https://mitra.stanford.edu/kundaje/oak/projects/neuro-variants/variant_position/credible/roussos_2024/variant_figures/roussos_2024.infant.GLU/rs248104_profile_position.png",4,220,900)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-0.0395399392</v>
      </c>
      <c r="G3368" t="n">
        <v>0.2420307242139458</v>
      </c>
      <c r="H3368" t="n">
        <v>0.0152508102131177</v>
      </c>
      <c r="I3368" t="n">
        <v>0.3527531030336394</v>
      </c>
      <c r="J3368" t="n">
        <v>0.1311184108997111</v>
      </c>
      <c r="K3368" t="n">
        <v>0.1680537316714919</v>
      </c>
      <c r="L3368" t="b">
        <v>0</v>
      </c>
      <c r="M3368" t="b">
        <v>0</v>
      </c>
      <c r="N3368" t="inlineStr">
        <is>
          <t>ref</t>
        </is>
      </c>
      <c r="O3368" t="n">
        <v>90</v>
      </c>
      <c r="P3368" t="n">
        <v>0.1161</v>
      </c>
      <c r="Q3368" t="n">
        <v>-15</v>
      </c>
      <c r="R3368" t="n">
        <v>0.05237</v>
      </c>
      <c r="S3368">
        <f>IMAGE("https://mitra.stanford.edu/kundaje/oak/projects/neuro-variants/variant_position/credible/roussos_2024/variant_figures/roussos_2024.infant.GLU/rs248115_count_position.png",4,220,900)</f>
        <v/>
      </c>
      <c r="T3368">
        <f>IMAGE("https://mitra.stanford.edu/kundaje/oak/projects/neuro-variants/variant_position/credible/roussos_2024/variant_figures/roussos_2024.infant.GLU/rs248115_profile_position.png",4,220,900)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-0.0212614581599999</v>
      </c>
      <c r="G3369" t="n">
        <v>0.4136927265802137</v>
      </c>
      <c r="H3369" t="n">
        <v>0.0502345328688549</v>
      </c>
      <c r="I3369" t="n">
        <v>0.0074093566769162</v>
      </c>
      <c r="J3369" t="n">
        <v>0.0979739412244537</v>
      </c>
      <c r="K3369" t="n">
        <v>0.2131380815259628</v>
      </c>
      <c r="L3369" t="b">
        <v>1</v>
      </c>
      <c r="M3369" t="b">
        <v>1</v>
      </c>
      <c r="N3369" t="inlineStr">
        <is>
          <t>ref</t>
        </is>
      </c>
      <c r="O3369" t="n">
        <v>-100</v>
      </c>
      <c r="P3369" t="n">
        <v>0.09760000000000001</v>
      </c>
      <c r="Q3369" t="n">
        <v>-100</v>
      </c>
      <c r="R3369" t="n">
        <v>0.0349</v>
      </c>
      <c r="S3369">
        <f>IMAGE("https://mitra.stanford.edu/kundaje/oak/projects/neuro-variants/variant_position/credible/roussos_2024/variant_figures/roussos_2024.infant.GLU/rs248116_count_position.png",4,220,900)</f>
        <v/>
      </c>
      <c r="T3369">
        <f>IMAGE("https://mitra.stanford.edu/kundaje/oak/projects/neuro-variants/variant_position/credible/roussos_2024/variant_figures/roussos_2024.infant.GLU/rs248116_profile_position.png",4,220,900)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-0.0142899509399999</v>
      </c>
      <c r="G3370" t="n">
        <v>0.5511935046488439</v>
      </c>
      <c r="H3370" t="n">
        <v>0.009748470513367099</v>
      </c>
      <c r="I3370" t="n">
        <v>0.7554315856468171</v>
      </c>
      <c r="J3370" t="n">
        <v>0.0834674485769086</v>
      </c>
      <c r="K3370" t="n">
        <v>0.2422451623288556</v>
      </c>
      <c r="L3370" t="b">
        <v>0</v>
      </c>
      <c r="M3370" t="b">
        <v>0</v>
      </c>
      <c r="N3370" t="inlineStr">
        <is>
          <t>ref</t>
        </is>
      </c>
      <c r="O3370" t="n">
        <v>100</v>
      </c>
      <c r="P3370" t="n">
        <v>0.03467</v>
      </c>
      <c r="Q3370" t="n">
        <v>-85</v>
      </c>
      <c r="R3370" t="n">
        <v>0.1526</v>
      </c>
      <c r="S3370">
        <f>IMAGE("https://mitra.stanford.edu/kundaje/oak/projects/neuro-variants/variant_position/credible/roussos_2024/variant_figures/roussos_2024.infant.GLU/rs248117_count_position.png",4,220,900)</f>
        <v/>
      </c>
      <c r="T3370">
        <f>IMAGE("https://mitra.stanford.edu/kundaje/oak/projects/neuro-variants/variant_position/credible/roussos_2024/variant_figures/roussos_2024.infant.GLU/rs248117_profile_position.png",4,220,900)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-0.0590946324</v>
      </c>
      <c r="G3371" t="n">
        <v>0.1386342191706289</v>
      </c>
      <c r="H3371" t="n">
        <v>0.0156962433060674</v>
      </c>
      <c r="I3371" t="n">
        <v>0.3337311244224102</v>
      </c>
      <c r="J3371" t="n">
        <v>0.065098436914394</v>
      </c>
      <c r="K3371" t="n">
        <v>0.3040810735866374</v>
      </c>
      <c r="L3371" t="b">
        <v>0</v>
      </c>
      <c r="M3371" t="b">
        <v>0</v>
      </c>
      <c r="N3371" t="inlineStr">
        <is>
          <t>ref</t>
        </is>
      </c>
      <c r="O3371" t="n">
        <v>-100</v>
      </c>
      <c r="P3371" t="n">
        <v>0.01121</v>
      </c>
      <c r="Q3371" t="n">
        <v>50</v>
      </c>
      <c r="R3371" t="n">
        <v>0.182</v>
      </c>
      <c r="S3371">
        <f>IMAGE("https://mitra.stanford.edu/kundaje/oak/projects/neuro-variants/variant_position/credible/roussos_2024/variant_figures/roussos_2024.infant.GLU/rs1860439_count_position.png",4,220,900)</f>
        <v/>
      </c>
      <c r="T3371">
        <f>IMAGE("https://mitra.stanford.edu/kundaje/oak/projects/neuro-variants/variant_position/credible/roussos_2024/variant_figures/roussos_2024.infant.GLU/rs1860439_profile_position.png",4,220,900)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0.55438729</v>
      </c>
      <c r="G3372" t="n">
        <v>0.0002451797535154</v>
      </c>
      <c r="H3372" t="n">
        <v>0.0668745111139407</v>
      </c>
      <c r="I3372" t="n">
        <v>0.0017431521252156</v>
      </c>
      <c r="J3372" t="n">
        <v>0.1885777905156639</v>
      </c>
      <c r="K3372" t="n">
        <v>0.1157601681108258</v>
      </c>
      <c r="L3372" t="b">
        <v>1</v>
      </c>
      <c r="M3372" t="b">
        <v>1</v>
      </c>
      <c r="N3372" t="inlineStr">
        <is>
          <t>alt</t>
        </is>
      </c>
      <c r="O3372" t="n">
        <v>-90</v>
      </c>
      <c r="P3372" t="n">
        <v>0.006287</v>
      </c>
      <c r="Q3372" t="n">
        <v>-90</v>
      </c>
      <c r="R3372" t="n">
        <v>0.08887</v>
      </c>
      <c r="S3372">
        <f>IMAGE("https://mitra.stanford.edu/kundaje/oak/projects/neuro-variants/variant_position/credible/roussos_2024/variant_figures/roussos_2024.infant.GLU/rs173555_count_position.png",4,220,900)</f>
        <v/>
      </c>
      <c r="T3372">
        <f>IMAGE("https://mitra.stanford.edu/kundaje/oak/projects/neuro-variants/variant_position/credible/roussos_2024/variant_figures/roussos_2024.infant.GLU/rs173555_profile_position.png",4,220,900)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0.02795553342</v>
      </c>
      <c r="G3373" t="n">
        <v>0.3510059227507682</v>
      </c>
      <c r="H3373" t="n">
        <v>0.0164100042831072</v>
      </c>
      <c r="I3373" t="n">
        <v>0.2960589118270937</v>
      </c>
      <c r="J3373" t="n">
        <v>0.1272625057871645</v>
      </c>
      <c r="K3373" t="n">
        <v>0.1716802649526288</v>
      </c>
      <c r="L3373" t="b">
        <v>0</v>
      </c>
      <c r="M3373" t="b">
        <v>0</v>
      </c>
      <c r="N3373" t="inlineStr">
        <is>
          <t>alt</t>
        </is>
      </c>
      <c r="O3373" t="n">
        <v>-60</v>
      </c>
      <c r="P3373" t="n">
        <v>0.02481</v>
      </c>
      <c r="Q3373" t="n">
        <v>-85</v>
      </c>
      <c r="R3373" t="n">
        <v>0.1492</v>
      </c>
      <c r="S3373">
        <f>IMAGE("https://mitra.stanford.edu/kundaje/oak/projects/neuro-variants/variant_position/credible/roussos_2024/variant_figures/roussos_2024.infant.GLU/rs248127_count_position.png",4,220,900)</f>
        <v/>
      </c>
      <c r="T3373">
        <f>IMAGE("https://mitra.stanford.edu/kundaje/oak/projects/neuro-variants/variant_position/credible/roussos_2024/variant_figures/roussos_2024.infant.GLU/rs248127_profile_position.png",4,220,900)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0.235423998</v>
      </c>
      <c r="G3374" t="n">
        <v>0.0064068337512226</v>
      </c>
      <c r="H3374" t="n">
        <v>0.0350402166634107</v>
      </c>
      <c r="I3374" t="n">
        <v>0.0337085965464486</v>
      </c>
      <c r="J3374" t="n">
        <v>0.0508432725589187</v>
      </c>
      <c r="K3374" t="n">
        <v>0.3412416975895279</v>
      </c>
      <c r="L3374" t="b">
        <v>1</v>
      </c>
      <c r="M3374" t="b">
        <v>1</v>
      </c>
      <c r="N3374" t="inlineStr">
        <is>
          <t>alt</t>
        </is>
      </c>
      <c r="O3374" t="n">
        <v>85</v>
      </c>
      <c r="P3374" t="n">
        <v>0.05353</v>
      </c>
      <c r="Q3374" t="n">
        <v>100</v>
      </c>
      <c r="R3374" t="n">
        <v>0.1255</v>
      </c>
      <c r="S3374">
        <f>IMAGE("https://mitra.stanford.edu/kundaje/oak/projects/neuro-variants/variant_position/credible/roussos_2024/variant_figures/roussos_2024.infant.GLU/rs188731_count_position.png",4,220,900)</f>
        <v/>
      </c>
      <c r="T3374">
        <f>IMAGE("https://mitra.stanford.edu/kundaje/oak/projects/neuro-variants/variant_position/credible/roussos_2024/variant_figures/roussos_2024.infant.GLU/rs188731_profile_position.png",4,220,900)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0.00125080464</v>
      </c>
      <c r="G3375" t="n">
        <v>0.7318252197746263</v>
      </c>
      <c r="H3375" t="n">
        <v>0.0110966034254825</v>
      </c>
      <c r="I3375" t="n">
        <v>0.6339195356610408</v>
      </c>
      <c r="J3375" t="n">
        <v>0.008566105954716701</v>
      </c>
      <c r="K3375" t="n">
        <v>0.6780481214983534</v>
      </c>
      <c r="L3375" t="b">
        <v>0</v>
      </c>
      <c r="M3375" t="b">
        <v>0</v>
      </c>
      <c r="N3375" t="inlineStr">
        <is>
          <t>alt</t>
        </is>
      </c>
      <c r="O3375" t="n">
        <v>75</v>
      </c>
      <c r="P3375" t="n">
        <v>0.006195</v>
      </c>
      <c r="Q3375" t="n">
        <v>70</v>
      </c>
      <c r="R3375" t="n">
        <v>0.01453</v>
      </c>
      <c r="S3375">
        <f>IMAGE("https://mitra.stanford.edu/kundaje/oak/projects/neuro-variants/variant_position/credible/roussos_2024/variant_figures/roussos_2024.infant.GLU/rs187653_count_position.png",4,220,900)</f>
        <v/>
      </c>
      <c r="T3375">
        <f>IMAGE("https://mitra.stanford.edu/kundaje/oak/projects/neuro-variants/variant_position/credible/roussos_2024/variant_figures/roussos_2024.infant.GLU/rs187653_profile_position.png",4,220,900)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0.142293863</v>
      </c>
      <c r="G3376" t="n">
        <v>0.0244894693785441</v>
      </c>
      <c r="H3376" t="n">
        <v>0.0182337882690066</v>
      </c>
      <c r="I3376" t="n">
        <v>0.2390713508892328</v>
      </c>
      <c r="J3376" t="n">
        <v>0.09681981525165891</v>
      </c>
      <c r="K3376" t="n">
        <v>0.2277103110748955</v>
      </c>
      <c r="L3376" t="b">
        <v>0</v>
      </c>
      <c r="M3376" t="b">
        <v>0</v>
      </c>
      <c r="N3376" t="inlineStr">
        <is>
          <t>alt</t>
        </is>
      </c>
      <c r="O3376" t="n">
        <v>-30</v>
      </c>
      <c r="P3376" t="n">
        <v>0.004234</v>
      </c>
      <c r="Q3376" t="n">
        <v>-45</v>
      </c>
      <c r="R3376" t="n">
        <v>0.01221</v>
      </c>
      <c r="S3376">
        <f>IMAGE("https://mitra.stanford.edu/kundaje/oak/projects/neuro-variants/variant_position/credible/roussos_2024/variant_figures/roussos_2024.infant.GLU/rs6421150_count_position.png",4,220,900)</f>
        <v/>
      </c>
      <c r="T3376">
        <f>IMAGE("https://mitra.stanford.edu/kundaje/oak/projects/neuro-variants/variant_position/credible/roussos_2024/variant_figures/roussos_2024.infant.GLU/rs6421150_profile_position.png",4,220,900)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-0.0014252242599999</v>
      </c>
      <c r="G3377" t="n">
        <v>0.8432534238556205</v>
      </c>
      <c r="H3377" t="n">
        <v>0.008968125693295199</v>
      </c>
      <c r="I3377" t="n">
        <v>0.8222571764351402</v>
      </c>
      <c r="J3377" t="n">
        <v>0.0556901607178288</v>
      </c>
      <c r="K3377" t="n">
        <v>0.3161416573033304</v>
      </c>
      <c r="L3377" t="b">
        <v>0</v>
      </c>
      <c r="M3377" t="b">
        <v>0</v>
      </c>
      <c r="N3377" t="inlineStr">
        <is>
          <t>ref</t>
        </is>
      </c>
      <c r="O3377" t="n">
        <v>5</v>
      </c>
      <c r="P3377" t="n">
        <v>0.00351</v>
      </c>
      <c r="Q3377" t="n">
        <v>-50</v>
      </c>
      <c r="R3377" t="n">
        <v>0.04172</v>
      </c>
      <c r="S3377">
        <f>IMAGE("https://mitra.stanford.edu/kundaje/oak/projects/neuro-variants/variant_position/credible/roussos_2024/variant_figures/roussos_2024.infant.GLU/rs355163_count_position.png",4,220,900)</f>
        <v/>
      </c>
      <c r="T3377">
        <f>IMAGE("https://mitra.stanford.edu/kundaje/oak/projects/neuro-variants/variant_position/credible/roussos_2024/variant_figures/roussos_2024.infant.GLU/rs355163_profile_position.png",4,220,900)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0.0098728918</v>
      </c>
      <c r="G3378" t="n">
        <v>0.5786061957625935</v>
      </c>
      <c r="H3378" t="n">
        <v>0.0183451748439331</v>
      </c>
      <c r="I3378" t="n">
        <v>0.2287893245615492</v>
      </c>
      <c r="J3378" t="n">
        <v>0.0101049405851098</v>
      </c>
      <c r="K3378" t="n">
        <v>0.6547966194567159</v>
      </c>
      <c r="L3378" t="b">
        <v>0</v>
      </c>
      <c r="M3378" t="b">
        <v>0</v>
      </c>
      <c r="N3378" t="inlineStr">
        <is>
          <t>alt</t>
        </is>
      </c>
      <c r="O3378" t="n">
        <v>5</v>
      </c>
      <c r="P3378" t="n">
        <v>0.0001411</v>
      </c>
      <c r="Q3378" t="n">
        <v>-100</v>
      </c>
      <c r="R3378" t="n">
        <v>0.0512</v>
      </c>
      <c r="S3378">
        <f>IMAGE("https://mitra.stanford.edu/kundaje/oak/projects/neuro-variants/variant_position/credible/roussos_2024/variant_figures/roussos_2024.infant.GLU/rs9687282_count_position.png",4,220,900)</f>
        <v/>
      </c>
      <c r="T3378">
        <f>IMAGE("https://mitra.stanford.edu/kundaje/oak/projects/neuro-variants/variant_position/credible/roussos_2024/variant_figures/roussos_2024.infant.GLU/rs9687282_profile_position.png",4,220,900)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-0.2002489219999999</v>
      </c>
      <c r="G3379" t="n">
        <v>0.0103513480505126</v>
      </c>
      <c r="H3379" t="n">
        <v>0.0312387442459305</v>
      </c>
      <c r="I3379" t="n">
        <v>0.0511282251037392</v>
      </c>
      <c r="J3379" t="n">
        <v>0.066303269472431</v>
      </c>
      <c r="K3379" t="n">
        <v>0.284982487105919</v>
      </c>
      <c r="L3379" t="b">
        <v>1</v>
      </c>
      <c r="M3379" t="b">
        <v>0</v>
      </c>
      <c r="N3379" t="inlineStr">
        <is>
          <t>ref</t>
        </is>
      </c>
      <c r="O3379" t="n">
        <v>90</v>
      </c>
      <c r="P3379" t="n">
        <v>0.03717</v>
      </c>
      <c r="Q3379" t="n">
        <v>-95</v>
      </c>
      <c r="R3379" t="n">
        <v>0.1832</v>
      </c>
      <c r="S3379">
        <f>IMAGE("https://mitra.stanford.edu/kundaje/oak/projects/neuro-variants/variant_position/credible/roussos_2024/variant_figures/roussos_2024.infant.GLU/rs4912894_count_position.png",4,220,900)</f>
        <v/>
      </c>
      <c r="T3379">
        <f>IMAGE("https://mitra.stanford.edu/kundaje/oak/projects/neuro-variants/variant_position/credible/roussos_2024/variant_figures/roussos_2024.infant.GLU/rs4912894_profile_position.png",4,220,900)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-0.09198620099999991</v>
      </c>
      <c r="G3380" t="n">
        <v>0.06719849182760471</v>
      </c>
      <c r="H3380" t="n">
        <v>0.0227144891179612</v>
      </c>
      <c r="I3380" t="n">
        <v>0.1374962875410249</v>
      </c>
      <c r="J3380" t="n">
        <v>0.09010009038999971</v>
      </c>
      <c r="K3380" t="n">
        <v>0.2277611467573555</v>
      </c>
      <c r="L3380" t="b">
        <v>0</v>
      </c>
      <c r="M3380" t="b">
        <v>0</v>
      </c>
      <c r="N3380" t="inlineStr">
        <is>
          <t>ref</t>
        </is>
      </c>
      <c r="O3380" t="n">
        <v>100</v>
      </c>
      <c r="P3380" t="n">
        <v>0.01125</v>
      </c>
      <c r="Q3380" t="n">
        <v>40</v>
      </c>
      <c r="R3380" t="n">
        <v>0.1969</v>
      </c>
      <c r="S3380">
        <f>IMAGE("https://mitra.stanford.edu/kundaje/oak/projects/neuro-variants/variant_position/credible/roussos_2024/variant_figures/roussos_2024.infant.GLU/rs2073512_count_position.png",4,220,900)</f>
        <v/>
      </c>
      <c r="T3380">
        <f>IMAGE("https://mitra.stanford.edu/kundaje/oak/projects/neuro-variants/variant_position/credible/roussos_2024/variant_figures/roussos_2024.infant.GLU/rs2073512_profile_position.png",4,220,900)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0.0104579161</v>
      </c>
      <c r="G3381" t="n">
        <v>0.6187164938647642</v>
      </c>
      <c r="H3381" t="n">
        <v>0.0320042242401366</v>
      </c>
      <c r="I3381" t="n">
        <v>0.0472933495413837</v>
      </c>
      <c r="J3381" t="n">
        <v>0.0146233382570161</v>
      </c>
      <c r="K3381" t="n">
        <v>0.5953546663870847</v>
      </c>
      <c r="L3381" t="b">
        <v>0</v>
      </c>
      <c r="M3381" t="b">
        <v>0</v>
      </c>
      <c r="N3381" t="inlineStr">
        <is>
          <t>alt</t>
        </is>
      </c>
      <c r="O3381" t="n">
        <v>15</v>
      </c>
      <c r="P3381" t="n">
        <v>0.001312</v>
      </c>
      <c r="Q3381" t="n">
        <v>-70</v>
      </c>
      <c r="R3381" t="n">
        <v>0.03168</v>
      </c>
      <c r="S3381">
        <f>IMAGE("https://mitra.stanford.edu/kundaje/oak/projects/neuro-variants/variant_position/credible/roussos_2024/variant_figures/roussos_2024.infant.GLU/rs12186884_count_position.png",4,220,900)</f>
        <v/>
      </c>
      <c r="T3381">
        <f>IMAGE("https://mitra.stanford.edu/kundaje/oak/projects/neuro-variants/variant_position/credible/roussos_2024/variant_figures/roussos_2024.infant.GLU/rs12186884_profile_position.png",4,220,900)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0.06539139999999991</v>
      </c>
      <c r="G3382" t="n">
        <v>0.1059215357002493</v>
      </c>
      <c r="H3382" t="n">
        <v>0.0246030225586386</v>
      </c>
      <c r="I3382" t="n">
        <v>0.1063327791201454</v>
      </c>
      <c r="J3382" t="n">
        <v>0.1725556118962057</v>
      </c>
      <c r="K3382" t="n">
        <v>0.1254206406720308</v>
      </c>
      <c r="L3382" t="b">
        <v>0</v>
      </c>
      <c r="M3382" t="b">
        <v>0</v>
      </c>
      <c r="N3382" t="inlineStr">
        <is>
          <t>alt</t>
        </is>
      </c>
      <c r="O3382" t="n">
        <v>70</v>
      </c>
      <c r="P3382" t="n">
        <v>0.01837</v>
      </c>
      <c r="Q3382" t="n">
        <v>60</v>
      </c>
      <c r="R3382" t="n">
        <v>0.1506</v>
      </c>
      <c r="S3382">
        <f>IMAGE("https://mitra.stanford.edu/kundaje/oak/projects/neuro-variants/variant_position/credible/roussos_2024/variant_figures/roussos_2024.infant.GLU/rs801174_count_position.png",4,220,900)</f>
        <v/>
      </c>
      <c r="T3382">
        <f>IMAGE("https://mitra.stanford.edu/kundaje/oak/projects/neuro-variants/variant_position/credible/roussos_2024/variant_figures/roussos_2024.infant.GLU/rs801174_profile_position.png",4,220,900)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0.0819842576</v>
      </c>
      <c r="G3383" t="n">
        <v>0.0986901243994856</v>
      </c>
      <c r="H3383" t="n">
        <v>0.0259591200699208</v>
      </c>
      <c r="I3383" t="n">
        <v>0.0939650464373476</v>
      </c>
      <c r="J3383" t="n">
        <v>0.050116845609471</v>
      </c>
      <c r="K3383" t="n">
        <v>0.3388691027860624</v>
      </c>
      <c r="L3383" t="b">
        <v>0</v>
      </c>
      <c r="M3383" t="b">
        <v>0</v>
      </c>
      <c r="N3383" t="inlineStr">
        <is>
          <t>alt</t>
        </is>
      </c>
      <c r="O3383" t="n">
        <v>0</v>
      </c>
      <c r="P3383" t="n">
        <v>0</v>
      </c>
      <c r="Q3383" t="n">
        <v>-45</v>
      </c>
      <c r="R3383" t="n">
        <v>0.07495</v>
      </c>
      <c r="S3383">
        <f>IMAGE("https://mitra.stanford.edu/kundaje/oak/projects/neuro-variants/variant_position/credible/roussos_2024/variant_figures/roussos_2024.infant.GLU/rs12659129_count_position.png",4,220,900)</f>
        <v/>
      </c>
      <c r="T3383">
        <f>IMAGE("https://mitra.stanford.edu/kundaje/oak/projects/neuro-variants/variant_position/credible/roussos_2024/variant_figures/roussos_2024.infant.GLU/rs12659129_profile_position.png",4,220,900)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0.0982849034</v>
      </c>
      <c r="G3384" t="n">
        <v>0.0534497918267758</v>
      </c>
      <c r="H3384" t="n">
        <v>0.0172158115674826</v>
      </c>
      <c r="I3384" t="n">
        <v>0.2750879455782026</v>
      </c>
      <c r="J3384" t="n">
        <v>0.2234242377477457</v>
      </c>
      <c r="K3384" t="n">
        <v>0.09555060715210199</v>
      </c>
      <c r="L3384" t="b">
        <v>0</v>
      </c>
      <c r="M3384" t="b">
        <v>0</v>
      </c>
      <c r="N3384" t="inlineStr">
        <is>
          <t>alt</t>
        </is>
      </c>
      <c r="O3384" t="n">
        <v>90</v>
      </c>
      <c r="P3384" t="n">
        <v>0.014435</v>
      </c>
      <c r="Q3384" t="n">
        <v>25</v>
      </c>
      <c r="R3384" t="n">
        <v>0.0741</v>
      </c>
      <c r="S3384">
        <f>IMAGE("https://mitra.stanford.edu/kundaje/oak/projects/neuro-variants/variant_position/credible/roussos_2024/variant_figures/roussos_2024.infant.GLU/rs7710380_count_position.png",4,220,900)</f>
        <v/>
      </c>
      <c r="T3384">
        <f>IMAGE("https://mitra.stanford.edu/kundaje/oak/projects/neuro-variants/variant_position/credible/roussos_2024/variant_figures/roussos_2024.infant.GLU/rs7710380_profile_position.png",4,220,900)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0.0137813724</v>
      </c>
      <c r="G3385" t="n">
        <v>0.2567316615522153</v>
      </c>
      <c r="H3385" t="n">
        <v>0.0362205259329395</v>
      </c>
      <c r="I3385" t="n">
        <v>0.0304162514357183</v>
      </c>
      <c r="J3385" t="n">
        <v>0.058271787296898</v>
      </c>
      <c r="K3385" t="n">
        <v>0.3063705562348947</v>
      </c>
      <c r="L3385" t="b">
        <v>0</v>
      </c>
      <c r="M3385" t="b">
        <v>0</v>
      </c>
      <c r="N3385" t="inlineStr">
        <is>
          <t>alt</t>
        </is>
      </c>
      <c r="O3385" t="n">
        <v>-60</v>
      </c>
      <c r="P3385" t="n">
        <v>0.007072</v>
      </c>
      <c r="Q3385" t="n">
        <v>-95</v>
      </c>
      <c r="R3385" t="n">
        <v>0.1222</v>
      </c>
      <c r="S3385">
        <f>IMAGE("https://mitra.stanford.edu/kundaje/oak/projects/neuro-variants/variant_position/credible/roussos_2024/variant_figures/roussos_2024.infant.GLU/rs1548699_count_position.png",4,220,900)</f>
        <v/>
      </c>
      <c r="T3385">
        <f>IMAGE("https://mitra.stanford.edu/kundaje/oak/projects/neuro-variants/variant_position/credible/roussos_2024/variant_figures/roussos_2024.infant.GLU/rs1548699_profile_position.png",4,220,900)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-0.0613557138799999</v>
      </c>
      <c r="G3386" t="n">
        <v>0.1572558675156557</v>
      </c>
      <c r="H3386" t="n">
        <v>0.0197544183006454</v>
      </c>
      <c r="I3386" t="n">
        <v>0.1986046499043628</v>
      </c>
      <c r="J3386" t="n">
        <v>0.0869805330805352</v>
      </c>
      <c r="K3386" t="n">
        <v>0.23299759716268</v>
      </c>
      <c r="L3386" t="b">
        <v>0</v>
      </c>
      <c r="M3386" t="b">
        <v>0</v>
      </c>
      <c r="N3386" t="inlineStr">
        <is>
          <t>ref</t>
        </is>
      </c>
      <c r="O3386" t="n">
        <v>80</v>
      </c>
      <c r="P3386" t="n">
        <v>0.04443</v>
      </c>
      <c r="Q3386" t="n">
        <v>95</v>
      </c>
      <c r="R3386" t="n">
        <v>0.099</v>
      </c>
      <c r="S3386">
        <f>IMAGE("https://mitra.stanford.edu/kundaje/oak/projects/neuro-variants/variant_position/credible/roussos_2024/variant_figures/roussos_2024.infant.GLU/rs13184940_count_position.png",4,220,900)</f>
        <v/>
      </c>
      <c r="T3386">
        <f>IMAGE("https://mitra.stanford.edu/kundaje/oak/projects/neuro-variants/variant_position/credible/roussos_2024/variant_figures/roussos_2024.infant.GLU/rs13184940_profile_position.png",4,220,900)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0.02369097386</v>
      </c>
      <c r="G3387" t="n">
        <v>0.3920496816494995</v>
      </c>
      <c r="H3387" t="n">
        <v>0.0170420944849587</v>
      </c>
      <c r="I3387" t="n">
        <v>0.2692258185832674</v>
      </c>
      <c r="J3387" t="n">
        <v>0.3223064882382768</v>
      </c>
      <c r="K3387" t="n">
        <v>0.06298528926217691</v>
      </c>
      <c r="L3387" t="b">
        <v>0</v>
      </c>
      <c r="M3387" t="b">
        <v>0</v>
      </c>
      <c r="N3387" t="inlineStr">
        <is>
          <t>alt</t>
        </is>
      </c>
      <c r="O3387" t="n">
        <v>80</v>
      </c>
      <c r="P3387" t="n">
        <v>0.03204</v>
      </c>
      <c r="Q3387" t="n">
        <v>40</v>
      </c>
      <c r="R3387" t="n">
        <v>0.0813</v>
      </c>
      <c r="S3387">
        <f>IMAGE("https://mitra.stanford.edu/kundaje/oak/projects/neuro-variants/variant_position/credible/roussos_2024/variant_figures/roussos_2024.infant.GLU/rs3756338_count_position.png",4,220,900)</f>
        <v/>
      </c>
      <c r="T3387">
        <f>IMAGE("https://mitra.stanford.edu/kundaje/oak/projects/neuro-variants/variant_position/credible/roussos_2024/variant_figures/roussos_2024.infant.GLU/rs3756338_profile_position.png",4,220,900)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-0.0075649453799999</v>
      </c>
      <c r="G3388" t="n">
        <v>0.6368643836801707</v>
      </c>
      <c r="H3388" t="n">
        <v>0.0517867966153682</v>
      </c>
      <c r="I3388" t="n">
        <v>0.0064703100816159</v>
      </c>
      <c r="J3388" t="n">
        <v>0.462725148261646</v>
      </c>
      <c r="K3388" t="n">
        <v>0.0355592771619598</v>
      </c>
      <c r="L3388" t="b">
        <v>1</v>
      </c>
      <c r="M3388" t="b">
        <v>1</v>
      </c>
      <c r="N3388" t="inlineStr">
        <is>
          <t>ref</t>
        </is>
      </c>
      <c r="O3388" t="n">
        <v>-100</v>
      </c>
      <c r="P3388" t="n">
        <v>0.03467</v>
      </c>
      <c r="Q3388" t="n">
        <v>-25</v>
      </c>
      <c r="R3388" t="n">
        <v>0.2417</v>
      </c>
      <c r="S3388">
        <f>IMAGE("https://mitra.stanford.edu/kundaje/oak/projects/neuro-variants/variant_position/credible/roussos_2024/variant_figures/roussos_2024.infant.GLU/rs3806845_count_position.png",4,220,900)</f>
        <v/>
      </c>
      <c r="T3388">
        <f>IMAGE("https://mitra.stanford.edu/kundaje/oak/projects/neuro-variants/variant_position/credible/roussos_2024/variant_figures/roussos_2024.infant.GLU/rs3806845_profile_position.png",4,220,900)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-0.230898132</v>
      </c>
      <c r="G3389" t="n">
        <v>0.0069900210573551</v>
      </c>
      <c r="H3389" t="n">
        <v>0.0446646544619736</v>
      </c>
      <c r="I3389" t="n">
        <v>0.0130507659356542</v>
      </c>
      <c r="J3389" t="n">
        <v>0.5696631319032607</v>
      </c>
      <c r="K3389" t="n">
        <v>0.0235772501835932</v>
      </c>
      <c r="L3389" t="b">
        <v>1</v>
      </c>
      <c r="M3389" t="b">
        <v>1</v>
      </c>
      <c r="N3389" t="inlineStr">
        <is>
          <t>ref</t>
        </is>
      </c>
      <c r="O3389" t="n">
        <v>-35</v>
      </c>
      <c r="P3389" t="n">
        <v>0.006104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IMAGE("https://mitra.stanford.edu/kundaje/oak/projects/neuro-variants/variant_position/credible/roussos_2024/variant_figures/roussos_2024.infant.GLU/rs4151682_count_position.png",4,220,900)</f>
        <v/>
      </c>
      <c r="T3389">
        <f>IMAGE("https://mitra.stanford.edu/kundaje/oak/projects/neuro-variants/variant_position/credible/roussos_2024/variant_figures/roussos_2024.infant.GLU/rs4151682_profile_position.png",4,220,900)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0.0455201962</v>
      </c>
      <c r="G3390" t="n">
        <v>0.1860012184814448</v>
      </c>
      <c r="H3390" t="n">
        <v>0.0096217121051648</v>
      </c>
      <c r="I3390" t="n">
        <v>0.7646016798443795</v>
      </c>
      <c r="J3390" t="n">
        <v>0.6369243149099406</v>
      </c>
      <c r="K3390" t="n">
        <v>0.0182250471600883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0.03506</v>
      </c>
      <c r="Q3390" t="n">
        <v>-55</v>
      </c>
      <c r="R3390" t="n">
        <v>0.06469999999999999</v>
      </c>
      <c r="S3390">
        <f>IMAGE("https://mitra.stanford.edu/kundaje/oak/projects/neuro-variants/variant_position/credible/roussos_2024/variant_figures/roussos_2024.infant.GLU/rs11958868_count_position.png",4,220,900)</f>
        <v/>
      </c>
      <c r="T3390">
        <f>IMAGE("https://mitra.stanford.edu/kundaje/oak/projects/neuro-variants/variant_position/credible/roussos_2024/variant_figures/roussos_2024.infant.GLU/rs11958868_profile_position.png",4,220,900)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-0.0551134298</v>
      </c>
      <c r="G3391" t="n">
        <v>0.1460574319386375</v>
      </c>
      <c r="H3391" t="n">
        <v>0.0084624764350719</v>
      </c>
      <c r="I3391" t="n">
        <v>0.8286185166661635</v>
      </c>
      <c r="J3391" t="n">
        <v>0.0393604356357061</v>
      </c>
      <c r="K3391" t="n">
        <v>0.4011326337940503</v>
      </c>
      <c r="L3391" t="b">
        <v>0</v>
      </c>
      <c r="M3391" t="b">
        <v>0</v>
      </c>
      <c r="N3391" t="inlineStr">
        <is>
          <t>ref</t>
        </is>
      </c>
      <c r="O3391" t="n">
        <v>35</v>
      </c>
      <c r="P3391" t="n">
        <v>0.013016</v>
      </c>
      <c r="Q3391" t="n">
        <v>-95</v>
      </c>
      <c r="R3391" t="n">
        <v>0.02026</v>
      </c>
      <c r="S3391">
        <f>IMAGE("https://mitra.stanford.edu/kundaje/oak/projects/neuro-variants/variant_position/credible/roussos_2024/variant_figures/roussos_2024.infant.GLU/rs10038174_count_position.png",4,220,900)</f>
        <v/>
      </c>
      <c r="T3391">
        <f>IMAGE("https://mitra.stanford.edu/kundaje/oak/projects/neuro-variants/variant_position/credible/roussos_2024/variant_figures/roussos_2024.infant.GLU/rs10038174_profile_position.png",4,220,900)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-0.0468218</v>
      </c>
      <c r="G3392" t="n">
        <v>0.1976708739173797</v>
      </c>
      <c r="H3392" t="n">
        <v>0.0409993766902876</v>
      </c>
      <c r="I3392" t="n">
        <v>0.0184213404514046</v>
      </c>
      <c r="J3392" t="n">
        <v>0.0161831169117484</v>
      </c>
      <c r="K3392" t="n">
        <v>0.5790951027953457</v>
      </c>
      <c r="L3392" t="b">
        <v>1</v>
      </c>
      <c r="M3392" t="b">
        <v>0</v>
      </c>
      <c r="N3392" t="inlineStr">
        <is>
          <t>ref</t>
        </is>
      </c>
      <c r="O3392" t="n">
        <v>100</v>
      </c>
      <c r="P3392" t="n">
        <v>0.03152</v>
      </c>
      <c r="Q3392" t="n">
        <v>30</v>
      </c>
      <c r="R3392" t="n">
        <v>0.03111</v>
      </c>
      <c r="S3392">
        <f>IMAGE("https://mitra.stanford.edu/kundaje/oak/projects/neuro-variants/variant_position/credible/roussos_2024/variant_figures/roussos_2024.infant.GLU/rs35123355_count_position.png",4,220,900)</f>
        <v/>
      </c>
      <c r="T3392">
        <f>IMAGE("https://mitra.stanford.edu/kundaje/oak/projects/neuro-variants/variant_position/credible/roussos_2024/variant_figures/roussos_2024.infant.GLU/rs35123355_profile_position.png",4,220,900)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0.0255157543999999</v>
      </c>
      <c r="G3393" t="n">
        <v>0.2786717456278634</v>
      </c>
      <c r="H3393" t="n">
        <v>0.0299481111456006</v>
      </c>
      <c r="I3393" t="n">
        <v>0.0580598182076677</v>
      </c>
      <c r="J3393" t="n">
        <v>0.8827410216274609</v>
      </c>
      <c r="K3393" t="n">
        <v>0.0040564768211016</v>
      </c>
      <c r="L3393" t="b">
        <v>0</v>
      </c>
      <c r="M3393" t="b">
        <v>0</v>
      </c>
      <c r="N3393" t="inlineStr">
        <is>
          <t>alt</t>
        </is>
      </c>
      <c r="O3393" t="n">
        <v>55</v>
      </c>
      <c r="P3393" t="n">
        <v>0.02852</v>
      </c>
      <c r="Q3393" t="n">
        <v>-100</v>
      </c>
      <c r="R3393" t="n">
        <v>0.1384</v>
      </c>
      <c r="S3393">
        <f>IMAGE("https://mitra.stanford.edu/kundaje/oak/projects/neuro-variants/variant_position/credible/roussos_2024/variant_figures/roussos_2024.infant.GLU/rs31745_count_position.png",4,220,900)</f>
        <v/>
      </c>
      <c r="T3393">
        <f>IMAGE("https://mitra.stanford.edu/kundaje/oak/projects/neuro-variants/variant_position/credible/roussos_2024/variant_figures/roussos_2024.infant.GLU/rs31745_profile_position.png",4,220,900)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0.0726536873999999</v>
      </c>
      <c r="G3394" t="n">
        <v>0.0928531869006351</v>
      </c>
      <c r="H3394" t="n">
        <v>0.0127385758299204</v>
      </c>
      <c r="I3394" t="n">
        <v>0.4992844375829867</v>
      </c>
      <c r="J3394" t="n">
        <v>0.0092363147335699</v>
      </c>
      <c r="K3394" t="n">
        <v>0.6913720415624248</v>
      </c>
      <c r="L3394" t="b">
        <v>0</v>
      </c>
      <c r="M3394" t="b">
        <v>0</v>
      </c>
      <c r="N3394" t="inlineStr">
        <is>
          <t>alt</t>
        </is>
      </c>
      <c r="O3394" t="n">
        <v>-80</v>
      </c>
      <c r="P3394" t="n">
        <v>0.00454</v>
      </c>
      <c r="Q3394" t="n">
        <v>-5</v>
      </c>
      <c r="R3394" t="n">
        <v>0.002014</v>
      </c>
      <c r="S3394">
        <f>IMAGE("https://mitra.stanford.edu/kundaje/oak/projects/neuro-variants/variant_position/credible/roussos_2024/variant_figures/roussos_2024.infant.GLU/rs34907800_count_position.png",4,220,900)</f>
        <v/>
      </c>
      <c r="T3394">
        <f>IMAGE("https://mitra.stanford.edu/kundaje/oak/projects/neuro-variants/variant_position/credible/roussos_2024/variant_figures/roussos_2024.infant.GLU/rs34907800_profile_position.png",4,220,900)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0.009391884848</v>
      </c>
      <c r="G3395" t="n">
        <v>0.6573589627270894</v>
      </c>
      <c r="H3395" t="n">
        <v>0.0148670253098161</v>
      </c>
      <c r="I3395" t="n">
        <v>0.3665607596040985</v>
      </c>
      <c r="J3395" t="n">
        <v>0.0027789413346854</v>
      </c>
      <c r="K3395" t="n">
        <v>0.8225907236645008</v>
      </c>
      <c r="L3395" t="b">
        <v>0</v>
      </c>
      <c r="M3395" t="b">
        <v>0</v>
      </c>
      <c r="N3395" t="inlineStr">
        <is>
          <t>alt</t>
        </is>
      </c>
      <c r="O3395" t="n">
        <v>-90</v>
      </c>
      <c r="P3395" t="n">
        <v>0.012115</v>
      </c>
      <c r="Q3395" t="n">
        <v>-40</v>
      </c>
      <c r="R3395" t="n">
        <v>0.05307</v>
      </c>
      <c r="S3395">
        <f>IMAGE("https://mitra.stanford.edu/kundaje/oak/projects/neuro-variants/variant_position/credible/roussos_2024/variant_figures/roussos_2024.infant.GLU/rs31860_count_position.png",4,220,900)</f>
        <v/>
      </c>
      <c r="T3395">
        <f>IMAGE("https://mitra.stanford.edu/kundaje/oak/projects/neuro-variants/variant_position/credible/roussos_2024/variant_figures/roussos_2024.infant.GLU/rs31860_profile_position.png",4,220,900)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0.0806278964</v>
      </c>
      <c r="G3396" t="n">
        <v>0.0806420559718526</v>
      </c>
      <c r="H3396" t="n">
        <v>0.0397501164457496</v>
      </c>
      <c r="I3396" t="n">
        <v>0.0207089778721834</v>
      </c>
      <c r="J3396" t="n">
        <v>0.0064959544963512</v>
      </c>
      <c r="K3396" t="n">
        <v>0.7228643362343667</v>
      </c>
      <c r="L3396" t="b">
        <v>0</v>
      </c>
      <c r="M3396" t="b">
        <v>0</v>
      </c>
      <c r="N3396" t="inlineStr">
        <is>
          <t>alt</t>
        </is>
      </c>
      <c r="O3396" t="n">
        <v>90</v>
      </c>
      <c r="P3396" t="n">
        <v>0.03049</v>
      </c>
      <c r="Q3396" t="n">
        <v>-80</v>
      </c>
      <c r="R3396" t="n">
        <v>0.09533999999999999</v>
      </c>
      <c r="S3396">
        <f>IMAGE("https://mitra.stanford.edu/kundaje/oak/projects/neuro-variants/variant_position/credible/roussos_2024/variant_figures/roussos_2024.infant.GLU/rs31859_count_position.png",4,220,900)</f>
        <v/>
      </c>
      <c r="T3396">
        <f>IMAGE("https://mitra.stanford.edu/kundaje/oak/projects/neuro-variants/variant_position/credible/roussos_2024/variant_figures/roussos_2024.infant.GLU/rs31859_profile_position.png",4,220,900)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0.335632072</v>
      </c>
      <c r="G3397" t="n">
        <v>0.002133381555661</v>
      </c>
      <c r="H3397" t="n">
        <v>0.0448842738713746</v>
      </c>
      <c r="I3397" t="n">
        <v>0.0125345498005838</v>
      </c>
      <c r="J3397" t="n">
        <v>0.2914790890451729</v>
      </c>
      <c r="K3397" t="n">
        <v>0.0711599356575912</v>
      </c>
      <c r="L3397" t="b">
        <v>1</v>
      </c>
      <c r="M3397" t="b">
        <v>1</v>
      </c>
      <c r="N3397" t="inlineStr">
        <is>
          <t>alt</t>
        </is>
      </c>
      <c r="O3397" t="n">
        <v>35</v>
      </c>
      <c r="P3397" t="n">
        <v>0.009520000000000001</v>
      </c>
      <c r="Q3397" t="n">
        <v>35</v>
      </c>
      <c r="R3397" t="n">
        <v>0.0801</v>
      </c>
      <c r="S3397">
        <f>IMAGE("https://mitra.stanford.edu/kundaje/oak/projects/neuro-variants/variant_position/credible/roussos_2024/variant_figures/roussos_2024.infant.GLU/rs35110655_count_position.png",4,220,900)</f>
        <v/>
      </c>
      <c r="T3397">
        <f>IMAGE("https://mitra.stanford.edu/kundaje/oak/projects/neuro-variants/variant_position/credible/roussos_2024/variant_figures/roussos_2024.infant.GLU/rs35110655_profile_position.png",4,220,900)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0.142316426</v>
      </c>
      <c r="G3398" t="n">
        <v>0.0229425947765017</v>
      </c>
      <c r="H3398" t="n">
        <v>0.023925265294409</v>
      </c>
      <c r="I3398" t="n">
        <v>0.1145167348667839</v>
      </c>
      <c r="J3398" t="n">
        <v>0.0016700103617804</v>
      </c>
      <c r="K3398" t="n">
        <v>0.8572561104780323</v>
      </c>
      <c r="L3398" t="b">
        <v>0</v>
      </c>
      <c r="M3398" t="b">
        <v>0</v>
      </c>
      <c r="N3398" t="inlineStr">
        <is>
          <t>alt</t>
        </is>
      </c>
      <c r="O3398" t="n">
        <v>90</v>
      </c>
      <c r="P3398" t="n">
        <v>0.0362</v>
      </c>
      <c r="Q3398" t="n">
        <v>-75</v>
      </c>
      <c r="R3398" t="n">
        <v>0.05823</v>
      </c>
      <c r="S3398">
        <f>IMAGE("https://mitra.stanford.edu/kundaje/oak/projects/neuro-variants/variant_position/credible/roussos_2024/variant_figures/roussos_2024.infant.GLU/rs34580312_count_position.png",4,220,900)</f>
        <v/>
      </c>
      <c r="T3398">
        <f>IMAGE("https://mitra.stanford.edu/kundaje/oak/projects/neuro-variants/variant_position/credible/roussos_2024/variant_figures/roussos_2024.infant.GLU/rs34580312_profile_position.png",4,220,900)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-0.0448460824</v>
      </c>
      <c r="G3399" t="n">
        <v>0.1953586395966549</v>
      </c>
      <c r="H3399" t="n">
        <v>0.0173777738884329</v>
      </c>
      <c r="I3399" t="n">
        <v>0.2632983707901554</v>
      </c>
      <c r="J3399" t="n">
        <v>0.6310820344363852</v>
      </c>
      <c r="K3399" t="n">
        <v>0.0188153759518079</v>
      </c>
      <c r="L3399" t="b">
        <v>0</v>
      </c>
      <c r="M3399" t="b">
        <v>0</v>
      </c>
      <c r="N3399" t="inlineStr">
        <is>
          <t>ref</t>
        </is>
      </c>
      <c r="O3399" t="n">
        <v>-40</v>
      </c>
      <c r="P3399" t="n">
        <v>0.01515</v>
      </c>
      <c r="Q3399" t="n">
        <v>100</v>
      </c>
      <c r="R3399" t="n">
        <v>0.04</v>
      </c>
      <c r="S3399">
        <f>IMAGE("https://mitra.stanford.edu/kundaje/oak/projects/neuro-variants/variant_position/credible/roussos_2024/variant_figures/roussos_2024.infant.GLU/rs31853_count_position.png",4,220,900)</f>
        <v/>
      </c>
      <c r="T3399">
        <f>IMAGE("https://mitra.stanford.edu/kundaje/oak/projects/neuro-variants/variant_position/credible/roussos_2024/variant_figures/roussos_2024.infant.GLU/rs31853_profile_position.png",4,220,900)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-0.1024652106</v>
      </c>
      <c r="G3400" t="n">
        <v>0.0524322270654285</v>
      </c>
      <c r="H3400" t="n">
        <v>0.0204962315013831</v>
      </c>
      <c r="I3400" t="n">
        <v>0.1819608553874152</v>
      </c>
      <c r="J3400" t="n">
        <v>0.0545459555986683</v>
      </c>
      <c r="K3400" t="n">
        <v>0.3242823890606541</v>
      </c>
      <c r="L3400" t="b">
        <v>0</v>
      </c>
      <c r="M3400" t="b">
        <v>0</v>
      </c>
      <c r="N3400" t="inlineStr">
        <is>
          <t>ref</t>
        </is>
      </c>
      <c r="O3400" t="n">
        <v>40</v>
      </c>
      <c r="P3400" t="n">
        <v>0.01193</v>
      </c>
      <c r="Q3400" t="n">
        <v>-60</v>
      </c>
      <c r="R3400" t="n">
        <v>0.09032999999999999</v>
      </c>
      <c r="S3400">
        <f>IMAGE("https://mitra.stanford.edu/kundaje/oak/projects/neuro-variants/variant_position/credible/roussos_2024/variant_figures/roussos_2024.infant.GLU/rs13183611_count_position.png",4,220,900)</f>
        <v/>
      </c>
      <c r="T3400">
        <f>IMAGE("https://mitra.stanford.edu/kundaje/oak/projects/neuro-variants/variant_position/credible/roussos_2024/variant_figures/roussos_2024.infant.GLU/rs13183611_profile_position.png",4,220,900)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0.0320640224</v>
      </c>
      <c r="G3401" t="n">
        <v>0.2951843894143675</v>
      </c>
      <c r="H3401" t="n">
        <v>0.0110447692214857</v>
      </c>
      <c r="I3401" t="n">
        <v>0.6434360507507332</v>
      </c>
      <c r="J3401" t="n">
        <v>0.8355001212548778</v>
      </c>
      <c r="K3401" t="n">
        <v>0.0063590380187288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0.1299</v>
      </c>
      <c r="Q3401" t="n">
        <v>-70</v>
      </c>
      <c r="R3401" t="n">
        <v>0.5723</v>
      </c>
      <c r="S3401">
        <f>IMAGE("https://mitra.stanford.edu/kundaje/oak/projects/neuro-variants/variant_position/credible/roussos_2024/variant_figures/roussos_2024.infant.GLU/rs1055410_count_position.png",4,220,900)</f>
        <v/>
      </c>
      <c r="T3401">
        <f>IMAGE("https://mitra.stanford.edu/kundaje/oak/projects/neuro-variants/variant_position/credible/roussos_2024/variant_figures/roussos_2024.infant.GLU/rs1055410_profile_position.png",4,220,900)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0.125181706</v>
      </c>
      <c r="G3402" t="n">
        <v>0.031764512798091</v>
      </c>
      <c r="H3402" t="n">
        <v>0.0184377422513984</v>
      </c>
      <c r="I3402" t="n">
        <v>0.2262267076951268</v>
      </c>
      <c r="J3402" t="n">
        <v>0.07482638506139901</v>
      </c>
      <c r="K3402" t="n">
        <v>0.2651448205877509</v>
      </c>
      <c r="L3402" t="b">
        <v>0</v>
      </c>
      <c r="M3402" t="b">
        <v>0</v>
      </c>
      <c r="N3402" t="inlineStr">
        <is>
          <t>alt</t>
        </is>
      </c>
      <c r="O3402" t="n">
        <v>85</v>
      </c>
      <c r="P3402" t="n">
        <v>0.008999999999999999</v>
      </c>
      <c r="Q3402" t="n">
        <v>60</v>
      </c>
      <c r="R3402" t="n">
        <v>0.06165</v>
      </c>
      <c r="S3402">
        <f>IMAGE("https://mitra.stanford.edu/kundaje/oak/projects/neuro-variants/variant_position/credible/roussos_2024/variant_figures/roussos_2024.infant.GLU/rs34535102_count_position.png",4,220,900)</f>
        <v/>
      </c>
      <c r="T3402">
        <f>IMAGE("https://mitra.stanford.edu/kundaje/oak/projects/neuro-variants/variant_position/credible/roussos_2024/variant_figures/roussos_2024.infant.GLU/rs34535102_profile_position.png",4,220,900)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-0.0398242351999999</v>
      </c>
      <c r="G3403" t="n">
        <v>0.2318081315882654</v>
      </c>
      <c r="H3403" t="n">
        <v>0.0129700087343983</v>
      </c>
      <c r="I3403" t="n">
        <v>0.4839165743335573</v>
      </c>
      <c r="J3403" t="n">
        <v>0.5784386781013691</v>
      </c>
      <c r="K3403" t="n">
        <v>0.0227394515856536</v>
      </c>
      <c r="L3403" t="b">
        <v>0</v>
      </c>
      <c r="M3403" t="b">
        <v>0</v>
      </c>
      <c r="N3403" t="inlineStr">
        <is>
          <t>ref</t>
        </is>
      </c>
      <c r="O3403" t="n">
        <v>25</v>
      </c>
      <c r="P3403" t="n">
        <v>0.001381</v>
      </c>
      <c r="Q3403" t="n">
        <v>10</v>
      </c>
      <c r="R3403" t="n">
        <v>0.05225</v>
      </c>
      <c r="S3403">
        <f>IMAGE("https://mitra.stanford.edu/kundaje/oak/projects/neuro-variants/variant_position/credible/roussos_2024/variant_figures/roussos_2024.infant.GLU/rs17844417_count_position.png",4,220,900)</f>
        <v/>
      </c>
      <c r="T3403">
        <f>IMAGE("https://mitra.stanford.edu/kundaje/oak/projects/neuro-variants/variant_position/credible/roussos_2024/variant_figures/roussos_2024.infant.GLU/rs17844417_profile_position.png",4,220,900)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-0.0009457924</v>
      </c>
      <c r="G3404" t="n">
        <v>0.6515936324345322</v>
      </c>
      <c r="H3404" t="n">
        <v>0.0263517027993784</v>
      </c>
      <c r="I3404" t="n">
        <v>0.0860072680663765</v>
      </c>
      <c r="J3404" t="n">
        <v>0.0053826142551643</v>
      </c>
      <c r="K3404" t="n">
        <v>0.744067047950202</v>
      </c>
      <c r="L3404" t="b">
        <v>0</v>
      </c>
      <c r="M3404" t="b">
        <v>0</v>
      </c>
      <c r="N3404" t="inlineStr">
        <is>
          <t>ref</t>
        </is>
      </c>
      <c r="O3404" t="n">
        <v>-85</v>
      </c>
      <c r="P3404" t="n">
        <v>0.01552</v>
      </c>
      <c r="Q3404" t="n">
        <v>-60</v>
      </c>
      <c r="R3404" t="n">
        <v>0.02638</v>
      </c>
      <c r="S3404">
        <f>IMAGE("https://mitra.stanford.edu/kundaje/oak/projects/neuro-variants/variant_position/credible/roussos_2024/variant_figures/roussos_2024.infant.GLU/rs74601574_count_position.png",4,220,900)</f>
        <v/>
      </c>
      <c r="T3404">
        <f>IMAGE("https://mitra.stanford.edu/kundaje/oak/projects/neuro-variants/variant_position/credible/roussos_2024/variant_figures/roussos_2024.infant.GLU/rs74601574_profile_position.png",4,220,900)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0.0430414456</v>
      </c>
      <c r="G3405" t="n">
        <v>0.2006304956420033</v>
      </c>
      <c r="H3405" t="n">
        <v>0.0123009749064007</v>
      </c>
      <c r="I3405" t="n">
        <v>0.5292527663541611</v>
      </c>
      <c r="J3405" t="n">
        <v>0.0047355541347912</v>
      </c>
      <c r="K3405" t="n">
        <v>0.760406305369239</v>
      </c>
      <c r="L3405" t="b">
        <v>0</v>
      </c>
      <c r="M3405" t="b">
        <v>0</v>
      </c>
      <c r="N3405" t="inlineStr">
        <is>
          <t>alt</t>
        </is>
      </c>
      <c r="O3405" t="n">
        <v>-10</v>
      </c>
      <c r="P3405" t="n">
        <v>0.005745</v>
      </c>
      <c r="Q3405" t="n">
        <v>95</v>
      </c>
      <c r="R3405" t="n">
        <v>0.03848</v>
      </c>
      <c r="S3405">
        <f>IMAGE("https://mitra.stanford.edu/kundaje/oak/projects/neuro-variants/variant_position/credible/roussos_2024/variant_figures/roussos_2024.infant.GLU/rs35737105_count_position.png",4,220,900)</f>
        <v/>
      </c>
      <c r="T3405">
        <f>IMAGE("https://mitra.stanford.edu/kundaje/oak/projects/neuro-variants/variant_position/credible/roussos_2024/variant_figures/roussos_2024.infant.GLU/rs35737105_profile_position.png",4,220,900)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0.0576401452</v>
      </c>
      <c r="G3406" t="n">
        <v>0.1467673079109028</v>
      </c>
      <c r="H3406" t="n">
        <v>0.0129682482754992</v>
      </c>
      <c r="I3406" t="n">
        <v>0.4916318673678715</v>
      </c>
      <c r="J3406" t="n">
        <v>0.0282722282237262</v>
      </c>
      <c r="K3406" t="n">
        <v>0.4647138816925522</v>
      </c>
      <c r="L3406" t="b">
        <v>0</v>
      </c>
      <c r="M3406" t="b">
        <v>0</v>
      </c>
      <c r="N3406" t="inlineStr">
        <is>
          <t>alt</t>
        </is>
      </c>
      <c r="O3406" t="n">
        <v>85</v>
      </c>
      <c r="P3406" t="n">
        <v>0.0572</v>
      </c>
      <c r="Q3406" t="n">
        <v>65</v>
      </c>
      <c r="R3406" t="n">
        <v>0.1059</v>
      </c>
      <c r="S3406">
        <f>IMAGE("https://mitra.stanford.edu/kundaje/oak/projects/neuro-variants/variant_position/credible/roussos_2024/variant_figures/roussos_2024.infant.GLU/rs3864272_count_position.png",4,220,900)</f>
        <v/>
      </c>
      <c r="T3406">
        <f>IMAGE("https://mitra.stanford.edu/kundaje/oak/projects/neuro-variants/variant_position/credible/roussos_2024/variant_figures/roussos_2024.infant.GLU/rs3864272_profile_position.png",4,220,900)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0.0799304572</v>
      </c>
      <c r="G3407" t="n">
        <v>0.07713021728202241</v>
      </c>
      <c r="H3407" t="n">
        <v>0.0171807089814055</v>
      </c>
      <c r="I3407" t="n">
        <v>0.2716775984831965</v>
      </c>
      <c r="J3407" t="n">
        <v>0.0140611565510702</v>
      </c>
      <c r="K3407" t="n">
        <v>0.6031425543755748</v>
      </c>
      <c r="L3407" t="b">
        <v>0</v>
      </c>
      <c r="M3407" t="b">
        <v>0</v>
      </c>
      <c r="N3407" t="inlineStr">
        <is>
          <t>alt</t>
        </is>
      </c>
      <c r="O3407" t="n">
        <v>100</v>
      </c>
      <c r="P3407" t="n">
        <v>0.02223</v>
      </c>
      <c r="Q3407" t="n">
        <v>-85</v>
      </c>
      <c r="R3407" t="n">
        <v>0.0321</v>
      </c>
      <c r="S3407">
        <f>IMAGE("https://mitra.stanford.edu/kundaje/oak/projects/neuro-variants/variant_position/credible/roussos_2024/variant_figures/roussos_2024.infant.GLU/rs12657267_count_position.png",4,220,900)</f>
        <v/>
      </c>
      <c r="T3407">
        <f>IMAGE("https://mitra.stanford.edu/kundaje/oak/projects/neuro-variants/variant_position/credible/roussos_2024/variant_figures/roussos_2024.infant.GLU/rs12657267_profile_position.png",4,220,900)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-0.0225554454</v>
      </c>
      <c r="G3408" t="n">
        <v>0.2748053408839535</v>
      </c>
      <c r="H3408" t="n">
        <v>0.0123287904368232</v>
      </c>
      <c r="I3408" t="n">
        <v>0.5331440983279582</v>
      </c>
      <c r="J3408" t="n">
        <v>0.7063184814480037</v>
      </c>
      <c r="K3408" t="n">
        <v>0.0137290115190859</v>
      </c>
      <c r="L3408" t="b">
        <v>0</v>
      </c>
      <c r="M3408" t="b">
        <v>0</v>
      </c>
      <c r="N3408" t="inlineStr">
        <is>
          <t>ref</t>
        </is>
      </c>
      <c r="O3408" t="n">
        <v>-100</v>
      </c>
      <c r="P3408" t="n">
        <v>0.0465</v>
      </c>
      <c r="Q3408" t="n">
        <v>-100</v>
      </c>
      <c r="R3408" t="n">
        <v>0.3105</v>
      </c>
      <c r="S3408">
        <f>IMAGE("https://mitra.stanford.edu/kundaje/oak/projects/neuro-variants/variant_position/credible/roussos_2024/variant_figures/roussos_2024.infant.GLU/rs17454953_count_position.png",4,220,900)</f>
        <v/>
      </c>
      <c r="T3408">
        <f>IMAGE("https://mitra.stanford.edu/kundaje/oak/projects/neuro-variants/variant_position/credible/roussos_2024/variant_figures/roussos_2024.infant.GLU/rs17454953_profile_position.png",4,220,900)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-0.0177116321</v>
      </c>
      <c r="G3409" t="n">
        <v>0.4838514301080527</v>
      </c>
      <c r="H3409" t="n">
        <v>0.0339253606597959</v>
      </c>
      <c r="I3409" t="n">
        <v>0.0379025949839733</v>
      </c>
      <c r="J3409" t="n">
        <v>0.0271754227385964</v>
      </c>
      <c r="K3409" t="n">
        <v>0.4780141320887018</v>
      </c>
      <c r="L3409" t="b">
        <v>0</v>
      </c>
      <c r="M3409" t="b">
        <v>0</v>
      </c>
      <c r="N3409" t="inlineStr">
        <is>
          <t>ref</t>
        </is>
      </c>
      <c r="O3409" t="n">
        <v>35</v>
      </c>
      <c r="P3409" t="n">
        <v>0.00634</v>
      </c>
      <c r="Q3409" t="n">
        <v>-25</v>
      </c>
      <c r="R3409" t="n">
        <v>0.00438</v>
      </c>
      <c r="S3409">
        <f>IMAGE("https://mitra.stanford.edu/kundaje/oak/projects/neuro-variants/variant_position/credible/roussos_2024/variant_figures/roussos_2024.infant.GLU/rs17455625_count_position.png",4,220,900)</f>
        <v/>
      </c>
      <c r="T3409">
        <f>IMAGE("https://mitra.stanford.edu/kundaje/oak/projects/neuro-variants/variant_position/credible/roussos_2024/variant_figures/roussos_2024.infant.GLU/rs17455625_profile_position.png",4,220,900)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-0.088020669</v>
      </c>
      <c r="G3410" t="n">
        <v>0.0644583986804939</v>
      </c>
      <c r="H3410" t="n">
        <v>0.0159283438963799</v>
      </c>
      <c r="I3410" t="n">
        <v>0.3149592453780823</v>
      </c>
      <c r="J3410" t="n">
        <v>0.0877268017372516</v>
      </c>
      <c r="K3410" t="n">
        <v>0.234901652815979</v>
      </c>
      <c r="L3410" t="b">
        <v>0</v>
      </c>
      <c r="M3410" t="b">
        <v>0</v>
      </c>
      <c r="N3410" t="inlineStr">
        <is>
          <t>ref</t>
        </is>
      </c>
      <c r="O3410" t="n">
        <v>95</v>
      </c>
      <c r="P3410" t="n">
        <v>0.02951</v>
      </c>
      <c r="Q3410" t="n">
        <v>80</v>
      </c>
      <c r="R3410" t="n">
        <v>0.03296</v>
      </c>
      <c r="S3410">
        <f>IMAGE("https://mitra.stanford.edu/kundaje/oak/projects/neuro-variants/variant_position/credible/roussos_2024/variant_figures/roussos_2024.infant.GLU/rs12657990_count_position.png",4,220,900)</f>
        <v/>
      </c>
      <c r="T3410">
        <f>IMAGE("https://mitra.stanford.edu/kundaje/oak/projects/neuro-variants/variant_position/credible/roussos_2024/variant_figures/roussos_2024.infant.GLU/rs12657990_profile_position.png",4,220,900)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-0.141759438</v>
      </c>
      <c r="G3411" t="n">
        <v>0.0264535853991822</v>
      </c>
      <c r="H3411" t="n">
        <v>0.022525871849053</v>
      </c>
      <c r="I3411" t="n">
        <v>0.1346768254565499</v>
      </c>
      <c r="J3411" t="n">
        <v>0.3039981040146388</v>
      </c>
      <c r="K3411" t="n">
        <v>0.06598664893775739</v>
      </c>
      <c r="L3411" t="b">
        <v>0</v>
      </c>
      <c r="M3411" t="b">
        <v>0</v>
      </c>
      <c r="N3411" t="inlineStr">
        <is>
          <t>ref</t>
        </is>
      </c>
      <c r="O3411" t="n">
        <v>-55</v>
      </c>
      <c r="P3411" t="n">
        <v>0.0159</v>
      </c>
      <c r="Q3411" t="n">
        <v>90</v>
      </c>
      <c r="R3411" t="n">
        <v>0.127</v>
      </c>
      <c r="S3411">
        <f>IMAGE("https://mitra.stanford.edu/kundaje/oak/projects/neuro-variants/variant_position/credible/roussos_2024/variant_figures/roussos_2024.infant.GLU/rs77257050_count_position.png",4,220,900)</f>
        <v/>
      </c>
      <c r="T3411">
        <f>IMAGE("https://mitra.stanford.edu/kundaje/oak/projects/neuro-variants/variant_position/credible/roussos_2024/variant_figures/roussos_2024.infant.GLU/rs77257050_profile_position.png",4,220,900)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-0.0591136474</v>
      </c>
      <c r="G3412" t="n">
        <v>0.1329295504635301</v>
      </c>
      <c r="H3412" t="n">
        <v>0.0346996317782137</v>
      </c>
      <c r="I3412" t="n">
        <v>0.0348341730618898</v>
      </c>
      <c r="J3412" t="n">
        <v>0.0006437531691615</v>
      </c>
      <c r="K3412" t="n">
        <v>0.9278569796309732</v>
      </c>
      <c r="L3412" t="b">
        <v>0</v>
      </c>
      <c r="M3412" t="b">
        <v>0</v>
      </c>
      <c r="N3412" t="inlineStr">
        <is>
          <t>ref</t>
        </is>
      </c>
      <c r="O3412" t="n">
        <v>15</v>
      </c>
      <c r="P3412" t="n">
        <v>0.01587</v>
      </c>
      <c r="Q3412" t="n">
        <v>45</v>
      </c>
      <c r="R3412" t="n">
        <v>0.06</v>
      </c>
      <c r="S3412">
        <f>IMAGE("https://mitra.stanford.edu/kundaje/oak/projects/neuro-variants/variant_position/credible/roussos_2024/variant_figures/roussos_2024.infant.GLU/rs4133347_count_position.png",4,220,900)</f>
        <v/>
      </c>
      <c r="T3412">
        <f>IMAGE("https://mitra.stanford.edu/kundaje/oak/projects/neuro-variants/variant_position/credible/roussos_2024/variant_figures/roussos_2024.infant.GLU/rs4133347_profile_position.png",4,220,900)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0.01075558284</v>
      </c>
      <c r="G3413" t="n">
        <v>0.6348933644660846</v>
      </c>
      <c r="H3413" t="n">
        <v>0.017188894999228</v>
      </c>
      <c r="I3413" t="n">
        <v>0.2664008818782566</v>
      </c>
      <c r="J3413" t="n">
        <v>0.1075111885182653</v>
      </c>
      <c r="K3413" t="n">
        <v>0.2031329483648444</v>
      </c>
      <c r="L3413" t="b">
        <v>0</v>
      </c>
      <c r="M3413" t="b">
        <v>0</v>
      </c>
      <c r="N3413" t="inlineStr">
        <is>
          <t>alt</t>
        </is>
      </c>
      <c r="O3413" t="n">
        <v>90</v>
      </c>
      <c r="P3413" t="n">
        <v>0.07539999999999999</v>
      </c>
      <c r="Q3413" t="n">
        <v>90</v>
      </c>
      <c r="R3413" t="n">
        <v>0.2202</v>
      </c>
      <c r="S3413">
        <f>IMAGE("https://mitra.stanford.edu/kundaje/oak/projects/neuro-variants/variant_position/credible/roussos_2024/variant_figures/roussos_2024.infant.GLU/rs55737372_count_position.png",4,220,900)</f>
        <v/>
      </c>
      <c r="T3413">
        <f>IMAGE("https://mitra.stanford.edu/kundaje/oak/projects/neuro-variants/variant_position/credible/roussos_2024/variant_figures/roussos_2024.infant.GLU/rs55737372_profile_position.png",4,220,900)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-0.241887724</v>
      </c>
      <c r="G3414" t="n">
        <v>0.0060070701523935</v>
      </c>
      <c r="H3414" t="n">
        <v>0.0333423430473895</v>
      </c>
      <c r="I3414" t="n">
        <v>0.0407137606807689</v>
      </c>
      <c r="J3414" t="n">
        <v>0.2505258052426199</v>
      </c>
      <c r="K3414" t="n">
        <v>0.08606754983680349</v>
      </c>
      <c r="L3414" t="b">
        <v>1</v>
      </c>
      <c r="M3414" t="b">
        <v>1</v>
      </c>
      <c r="N3414" t="inlineStr">
        <is>
          <t>ref</t>
        </is>
      </c>
      <c r="O3414" t="n">
        <v>-95</v>
      </c>
      <c r="P3414" t="n">
        <v>0.01813</v>
      </c>
      <c r="Q3414" t="n">
        <v>-45</v>
      </c>
      <c r="R3414" t="n">
        <v>0.1567</v>
      </c>
      <c r="S3414">
        <f>IMAGE("https://mitra.stanford.edu/kundaje/oak/projects/neuro-variants/variant_position/credible/roussos_2024/variant_figures/roussos_2024.infant.GLU/rs11167589_count_position.png",4,220,900)</f>
        <v/>
      </c>
      <c r="T3414">
        <f>IMAGE("https://mitra.stanford.edu/kundaje/oak/projects/neuro-variants/variant_position/credible/roussos_2024/variant_figures/roussos_2024.infant.GLU/rs11167589_profile_position.png",4,220,900)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0.041175658</v>
      </c>
      <c r="G3415" t="n">
        <v>0.2190666169587569</v>
      </c>
      <c r="H3415" t="n">
        <v>0.0121465671768672</v>
      </c>
      <c r="I3415" t="n">
        <v>0.5448356718013788</v>
      </c>
      <c r="J3415" t="n">
        <v>0.0113196939967811</v>
      </c>
      <c r="K3415" t="n">
        <v>0.6365694572266988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0.01108</v>
      </c>
      <c r="Q3415" t="n">
        <v>100</v>
      </c>
      <c r="R3415" t="n">
        <v>0.06274</v>
      </c>
      <c r="S3415">
        <f>IMAGE("https://mitra.stanford.edu/kundaje/oak/projects/neuro-variants/variant_position/credible/roussos_2024/variant_figures/roussos_2024.infant.GLU/rs72799143_count_position.png",4,220,900)</f>
        <v/>
      </c>
      <c r="T3415">
        <f>IMAGE("https://mitra.stanford.edu/kundaje/oak/projects/neuro-variants/variant_position/credible/roussos_2024/variant_figures/roussos_2024.infant.GLU/rs72799143_profile_position.png",4,220,900)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-0.00676591584</v>
      </c>
      <c r="G3416" t="n">
        <v>0.6414793634824127</v>
      </c>
      <c r="H3416" t="n">
        <v>0.008348190057896001</v>
      </c>
      <c r="I3416" t="n">
        <v>0.8872288900259532</v>
      </c>
      <c r="J3416" t="n">
        <v>0.0116503891179258</v>
      </c>
      <c r="K3416" t="n">
        <v>0.6486616308019701</v>
      </c>
      <c r="L3416" t="b">
        <v>0</v>
      </c>
      <c r="M3416" t="b">
        <v>0</v>
      </c>
      <c r="N3416" t="inlineStr">
        <is>
          <t>ref</t>
        </is>
      </c>
      <c r="O3416" t="n">
        <v>95</v>
      </c>
      <c r="P3416" t="n">
        <v>0.01303</v>
      </c>
      <c r="Q3416" t="n">
        <v>-55</v>
      </c>
      <c r="R3416" t="n">
        <v>0.0731</v>
      </c>
      <c r="S3416">
        <f>IMAGE("https://mitra.stanford.edu/kundaje/oak/projects/neuro-variants/variant_position/credible/roussos_2024/variant_figures/roussos_2024.infant.GLU/rs72799151_count_position.png",4,220,900)</f>
        <v/>
      </c>
      <c r="T3416">
        <f>IMAGE("https://mitra.stanford.edu/kundaje/oak/projects/neuro-variants/variant_position/credible/roussos_2024/variant_figures/roussos_2024.infant.GLU/rs72799151_profile_position.png",4,220,900)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0.0268071049999999</v>
      </c>
      <c r="G3417" t="n">
        <v>0.3394131717072037</v>
      </c>
      <c r="H3417" t="n">
        <v>0.0421913468294897</v>
      </c>
      <c r="I3417" t="n">
        <v>0.0163190935358907</v>
      </c>
      <c r="J3417" t="n">
        <v>0.013857227893031</v>
      </c>
      <c r="K3417" t="n">
        <v>0.6228687063525109</v>
      </c>
      <c r="L3417" t="b">
        <v>1</v>
      </c>
      <c r="M3417" t="b">
        <v>0</v>
      </c>
      <c r="N3417" t="inlineStr">
        <is>
          <t>alt</t>
        </is>
      </c>
      <c r="O3417" t="n">
        <v>80</v>
      </c>
      <c r="P3417" t="n">
        <v>0.02881</v>
      </c>
      <c r="Q3417" t="n">
        <v>-30</v>
      </c>
      <c r="R3417" t="n">
        <v>0.03296</v>
      </c>
      <c r="S3417">
        <f>IMAGE("https://mitra.stanford.edu/kundaje/oak/projects/neuro-variants/variant_position/credible/roussos_2024/variant_figures/roussos_2024.infant.GLU/rs72799160_count_position.png",4,220,900)</f>
        <v/>
      </c>
      <c r="T3417">
        <f>IMAGE("https://mitra.stanford.edu/kundaje/oak/projects/neuro-variants/variant_position/credible/roussos_2024/variant_figures/roussos_2024.infant.GLU/rs72799160_profile_position.png",4,220,900)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-0.0648403746</v>
      </c>
      <c r="G3418" t="n">
        <v>0.1291845147010848</v>
      </c>
      <c r="H3418" t="n">
        <v>0.0408384140238308</v>
      </c>
      <c r="I3418" t="n">
        <v>0.0191674884170819</v>
      </c>
      <c r="J3418" t="n">
        <v>0.0160398156925857</v>
      </c>
      <c r="K3418" t="n">
        <v>0.5790075419134423</v>
      </c>
      <c r="L3418" t="b">
        <v>1</v>
      </c>
      <c r="M3418" t="b">
        <v>0</v>
      </c>
      <c r="N3418" t="inlineStr">
        <is>
          <t>ref</t>
        </is>
      </c>
      <c r="O3418" t="n">
        <v>10</v>
      </c>
      <c r="P3418" t="n">
        <v>0.003937</v>
      </c>
      <c r="Q3418" t="n">
        <v>20</v>
      </c>
      <c r="R3418" t="n">
        <v>0.007996</v>
      </c>
      <c r="S3418">
        <f>IMAGE("https://mitra.stanford.edu/kundaje/oak/projects/neuro-variants/variant_position/credible/roussos_2024/variant_figures/roussos_2024.infant.GLU/rs56208248_count_position.png",4,220,900)</f>
        <v/>
      </c>
      <c r="T3418">
        <f>IMAGE("https://mitra.stanford.edu/kundaje/oak/projects/neuro-variants/variant_position/credible/roussos_2024/variant_figures/roussos_2024.infant.GLU/rs56208248_profile_position.png",4,220,900)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-0.00733435696</v>
      </c>
      <c r="G3419" t="n">
        <v>0.6708255852121812</v>
      </c>
      <c r="H3419" t="n">
        <v>0.0064549766232401</v>
      </c>
      <c r="I3419" t="n">
        <v>0.963838398796324</v>
      </c>
      <c r="J3419" t="n">
        <v>0.137391697347825</v>
      </c>
      <c r="K3419" t="n">
        <v>0.158815068935627</v>
      </c>
      <c r="L3419" t="b">
        <v>0</v>
      </c>
      <c r="M3419" t="b">
        <v>0</v>
      </c>
      <c r="N3419" t="inlineStr">
        <is>
          <t>ref</t>
        </is>
      </c>
      <c r="O3419" t="n">
        <v>-100</v>
      </c>
      <c r="P3419" t="n">
        <v>0.06213</v>
      </c>
      <c r="Q3419" t="n">
        <v>-100</v>
      </c>
      <c r="R3419" t="n">
        <v>0.0377</v>
      </c>
      <c r="S3419">
        <f>IMAGE("https://mitra.stanford.edu/kundaje/oak/projects/neuro-variants/variant_position/credible/roussos_2024/variant_figures/roussos_2024.infant.GLU/rs56286804_count_position.png",4,220,900)</f>
        <v/>
      </c>
      <c r="T3419">
        <f>IMAGE("https://mitra.stanford.edu/kundaje/oak/projects/neuro-variants/variant_position/credible/roussos_2024/variant_figures/roussos_2024.infant.GLU/rs56286804_profile_position.png",4,220,900)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0.0911274768</v>
      </c>
      <c r="G3420" t="n">
        <v>0.0608017111305884</v>
      </c>
      <c r="H3420" t="n">
        <v>0.0122380292225565</v>
      </c>
      <c r="I3420" t="n">
        <v>0.5387885634149923</v>
      </c>
      <c r="J3420" t="n">
        <v>0.0251438523776978</v>
      </c>
      <c r="K3420" t="n">
        <v>0.4953870038541264</v>
      </c>
      <c r="L3420" t="b">
        <v>0</v>
      </c>
      <c r="M3420" t="b">
        <v>0</v>
      </c>
      <c r="N3420" t="inlineStr">
        <is>
          <t>alt</t>
        </is>
      </c>
      <c r="O3420" t="n">
        <v>-65</v>
      </c>
      <c r="P3420" t="n">
        <v>0.01776</v>
      </c>
      <c r="Q3420" t="n">
        <v>75</v>
      </c>
      <c r="R3420" t="n">
        <v>0.04834</v>
      </c>
      <c r="S3420">
        <f>IMAGE("https://mitra.stanford.edu/kundaje/oak/projects/neuro-variants/variant_position/credible/roussos_2024/variant_figures/roussos_2024.infant.GLU/rs72799178_count_position.png",4,220,900)</f>
        <v/>
      </c>
      <c r="T3420">
        <f>IMAGE("https://mitra.stanford.edu/kundaje/oak/projects/neuro-variants/variant_position/credible/roussos_2024/variant_figures/roussos_2024.infant.GLU/rs72799178_profile_position.png",4,220,900)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-0.0388573204</v>
      </c>
      <c r="G3421" t="n">
        <v>0.2445338131507647</v>
      </c>
      <c r="H3421" t="n">
        <v>0.0468617986080489</v>
      </c>
      <c r="I3421" t="n">
        <v>0.0102160640901898</v>
      </c>
      <c r="J3421" t="n">
        <v>0.0572973390065918</v>
      </c>
      <c r="K3421" t="n">
        <v>0.3213924095323275</v>
      </c>
      <c r="L3421" t="b">
        <v>1</v>
      </c>
      <c r="M3421" t="b">
        <v>0</v>
      </c>
      <c r="N3421" t="inlineStr">
        <is>
          <t>ref</t>
        </is>
      </c>
      <c r="O3421" t="n">
        <v>40</v>
      </c>
      <c r="P3421" t="n">
        <v>0.00906</v>
      </c>
      <c r="Q3421" t="n">
        <v>50</v>
      </c>
      <c r="R3421" t="n">
        <v>0.2352</v>
      </c>
      <c r="S3421">
        <f>IMAGE("https://mitra.stanford.edu/kundaje/oak/projects/neuro-variants/variant_position/credible/roussos_2024/variant_figures/roussos_2024.infant.GLU/rs111294930_count_position.png",4,220,900)</f>
        <v/>
      </c>
      <c r="T3421">
        <f>IMAGE("https://mitra.stanford.edu/kundaje/oak/projects/neuro-variants/variant_position/credible/roussos_2024/variant_figures/roussos_2024.infant.GLU/rs111294930_profile_position.png",4,220,900)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-0.0257631526</v>
      </c>
      <c r="G3422" t="n">
        <v>0.3706028043849283</v>
      </c>
      <c r="H3422" t="n">
        <v>0.0108016112444174</v>
      </c>
      <c r="I3422" t="n">
        <v>0.6636857448915638</v>
      </c>
      <c r="J3422" t="n">
        <v>0.0014374214599086</v>
      </c>
      <c r="K3422" t="n">
        <v>0.880418145803251</v>
      </c>
      <c r="L3422" t="b">
        <v>0</v>
      </c>
      <c r="M3422" t="b">
        <v>0</v>
      </c>
      <c r="N3422" t="inlineStr">
        <is>
          <t>ref</t>
        </is>
      </c>
      <c r="O3422" t="n">
        <v>-50</v>
      </c>
      <c r="P3422" t="n">
        <v>0.003819</v>
      </c>
      <c r="Q3422" t="n">
        <v>-40</v>
      </c>
      <c r="R3422" t="n">
        <v>0.06354</v>
      </c>
      <c r="S3422">
        <f>IMAGE("https://mitra.stanford.edu/kundaje/oak/projects/neuro-variants/variant_position/credible/roussos_2024/variant_figures/roussos_2024.infant.GLU/rs55918828_count_position.png",4,220,900)</f>
        <v/>
      </c>
      <c r="T3422">
        <f>IMAGE("https://mitra.stanford.edu/kundaje/oak/projects/neuro-variants/variant_position/credible/roussos_2024/variant_figures/roussos_2024.infant.GLU/rs55918828_profile_position.png",4,220,900)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-0.01097453914</v>
      </c>
      <c r="G3423" t="n">
        <v>0.4136969965454748</v>
      </c>
      <c r="H3423" t="n">
        <v>0.0164103950985774</v>
      </c>
      <c r="I3423" t="n">
        <v>0.3013465601548424</v>
      </c>
      <c r="J3423" t="n">
        <v>0.0031658546264247</v>
      </c>
      <c r="K3423" t="n">
        <v>0.8114747566433999</v>
      </c>
      <c r="L3423" t="b">
        <v>0</v>
      </c>
      <c r="M3423" t="b">
        <v>0</v>
      </c>
      <c r="N3423" t="inlineStr">
        <is>
          <t>ref</t>
        </is>
      </c>
      <c r="O3423" t="n">
        <v>65</v>
      </c>
      <c r="P3423" t="n">
        <v>0.06419999999999999</v>
      </c>
      <c r="Q3423" t="n">
        <v>60</v>
      </c>
      <c r="R3423" t="n">
        <v>0.0524</v>
      </c>
      <c r="S3423">
        <f>IMAGE("https://mitra.stanford.edu/kundaje/oak/projects/neuro-variants/variant_position/credible/roussos_2024/variant_figures/roussos_2024.infant.GLU/rs55830548_count_position.png",4,220,900)</f>
        <v/>
      </c>
      <c r="T3423">
        <f>IMAGE("https://mitra.stanford.edu/kundaje/oak/projects/neuro-variants/variant_position/credible/roussos_2024/variant_figures/roussos_2024.infant.GLU/rs55830548_profile_position.png",4,220,900)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-0.0579385672</v>
      </c>
      <c r="G3424" t="n">
        <v>0.1431454655035538</v>
      </c>
      <c r="H3424" t="n">
        <v>0.0430473135924241</v>
      </c>
      <c r="I3424" t="n">
        <v>0.0149237691591825</v>
      </c>
      <c r="J3424" t="n">
        <v>0.0810467602901298</v>
      </c>
      <c r="K3424" t="n">
        <v>0.2432601959040732</v>
      </c>
      <c r="L3424" t="b">
        <v>1</v>
      </c>
      <c r="M3424" t="b">
        <v>0</v>
      </c>
      <c r="N3424" t="inlineStr">
        <is>
          <t>ref</t>
        </is>
      </c>
      <c r="O3424" t="n">
        <v>5</v>
      </c>
      <c r="P3424" t="n">
        <v>0.006104</v>
      </c>
      <c r="Q3424" t="n">
        <v>40</v>
      </c>
      <c r="R3424" t="n">
        <v>0.09470000000000001</v>
      </c>
      <c r="S3424">
        <f>IMAGE("https://mitra.stanford.edu/kundaje/oak/projects/neuro-variants/variant_position/credible/roussos_2024/variant_figures/roussos_2024.infant.GLU/rs55829928_count_position.png",4,220,900)</f>
        <v/>
      </c>
      <c r="T3424">
        <f>IMAGE("https://mitra.stanford.edu/kundaje/oak/projects/neuro-variants/variant_position/credible/roussos_2024/variant_figures/roussos_2024.infant.GLU/rs55829928_profile_position.png",4,220,900)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0.0248817582</v>
      </c>
      <c r="G3425" t="n">
        <v>0.3761721356912995</v>
      </c>
      <c r="H3425" t="n">
        <v>0.0130305839267349</v>
      </c>
      <c r="I3425" t="n">
        <v>0.479529649472542</v>
      </c>
      <c r="J3425" t="n">
        <v>0.0157532132542604</v>
      </c>
      <c r="K3425" t="n">
        <v>0.5810577965204449</v>
      </c>
      <c r="L3425" t="b">
        <v>0</v>
      </c>
      <c r="M3425" t="b">
        <v>0</v>
      </c>
      <c r="N3425" t="inlineStr">
        <is>
          <t>alt</t>
        </is>
      </c>
      <c r="O3425" t="n">
        <v>-60</v>
      </c>
      <c r="P3425" t="n">
        <v>0.01624</v>
      </c>
      <c r="Q3425" t="n">
        <v>-100</v>
      </c>
      <c r="R3425" t="n">
        <v>0.02402</v>
      </c>
      <c r="S3425">
        <f>IMAGE("https://mitra.stanford.edu/kundaje/oak/projects/neuro-variants/variant_position/credible/roussos_2024/variant_figures/roussos_2024.infant.GLU/rs72799198_count_position.png",4,220,900)</f>
        <v/>
      </c>
      <c r="T3425">
        <f>IMAGE("https://mitra.stanford.edu/kundaje/oak/projects/neuro-variants/variant_position/credible/roussos_2024/variant_figures/roussos_2024.infant.GLU/rs72799198_profile_position.png",4,220,900)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-0.0394170914</v>
      </c>
      <c r="G3426" t="n">
        <v>0.2423347477939537</v>
      </c>
      <c r="H3426" t="n">
        <v>0.0158553323033979</v>
      </c>
      <c r="I3426" t="n">
        <v>0.3187522141320685</v>
      </c>
      <c r="J3426" t="n">
        <v>0.007741572785996</v>
      </c>
      <c r="K3426" t="n">
        <v>0.7082127538017711</v>
      </c>
      <c r="L3426" t="b">
        <v>0</v>
      </c>
      <c r="M3426" t="b">
        <v>0</v>
      </c>
      <c r="N3426" t="inlineStr">
        <is>
          <t>ref</t>
        </is>
      </c>
      <c r="O3426" t="n">
        <v>30</v>
      </c>
      <c r="P3426" t="n">
        <v>0.01486</v>
      </c>
      <c r="Q3426" t="n">
        <v>-95</v>
      </c>
      <c r="R3426" t="n">
        <v>0.1781</v>
      </c>
      <c r="S3426">
        <f>IMAGE("https://mitra.stanford.edu/kundaje/oak/projects/neuro-variants/variant_position/credible/roussos_2024/variant_figures/roussos_2024.infant.GLU/rs72799201_count_position.png",4,220,900)</f>
        <v/>
      </c>
      <c r="T3426">
        <f>IMAGE("https://mitra.stanford.edu/kundaje/oak/projects/neuro-variants/variant_position/credible/roussos_2024/variant_figures/roussos_2024.infant.GLU/rs72799201_profile_position.png",4,220,900)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-0.026439352</v>
      </c>
      <c r="G3427" t="n">
        <v>0.3644619374792755</v>
      </c>
      <c r="H3427" t="n">
        <v>0.0406797073880029</v>
      </c>
      <c r="I3427" t="n">
        <v>0.0189106781962747</v>
      </c>
      <c r="J3427" t="n">
        <v>0.4108765625344474</v>
      </c>
      <c r="K3427" t="n">
        <v>0.0432614667481436</v>
      </c>
      <c r="L3427" t="b">
        <v>1</v>
      </c>
      <c r="M3427" t="b">
        <v>0</v>
      </c>
      <c r="N3427" t="inlineStr">
        <is>
          <t>ref</t>
        </is>
      </c>
      <c r="O3427" t="n">
        <v>70</v>
      </c>
      <c r="P3427" t="n">
        <v>0.007088</v>
      </c>
      <c r="Q3427" t="n">
        <v>-80</v>
      </c>
      <c r="R3427" t="n">
        <v>0.0638</v>
      </c>
      <c r="S3427">
        <f>IMAGE("https://mitra.stanford.edu/kundaje/oak/projects/neuro-variants/variant_position/credible/roussos_2024/variant_figures/roussos_2024.infant.GLU/rs115283145_count_position.png",4,220,900)</f>
        <v/>
      </c>
      <c r="T3427">
        <f>IMAGE("https://mitra.stanford.edu/kundaje/oak/projects/neuro-variants/variant_position/credible/roussos_2024/variant_figures/roussos_2024.infant.GLU/rs115283145_profile_position.png",4,220,900)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0.1259189892</v>
      </c>
      <c r="G3428" t="n">
        <v>0.03291773996678</v>
      </c>
      <c r="H3428" t="n">
        <v>0.0236315202134297</v>
      </c>
      <c r="I3428" t="n">
        <v>0.1186052760608062</v>
      </c>
      <c r="J3428" t="n">
        <v>0.0647809695980951</v>
      </c>
      <c r="K3428" t="n">
        <v>0.2887918254391969</v>
      </c>
      <c r="L3428" t="b">
        <v>0</v>
      </c>
      <c r="M3428" t="b">
        <v>0</v>
      </c>
      <c r="N3428" t="inlineStr">
        <is>
          <t>alt</t>
        </is>
      </c>
      <c r="O3428" t="n">
        <v>100</v>
      </c>
      <c r="P3428" t="n">
        <v>0.0892</v>
      </c>
      <c r="Q3428" t="n">
        <v>15</v>
      </c>
      <c r="R3428" t="n">
        <v>0.0537</v>
      </c>
      <c r="S3428">
        <f>IMAGE("https://mitra.stanford.edu/kundaje/oak/projects/neuro-variants/variant_position/credible/roussos_2024/variant_figures/roussos_2024.infant.GLU/rs72802883_count_position.png",4,220,900)</f>
        <v/>
      </c>
      <c r="T3428">
        <f>IMAGE("https://mitra.stanford.edu/kundaje/oak/projects/neuro-variants/variant_position/credible/roussos_2024/variant_figures/roussos_2024.infant.GLU/rs72802883_profile_position.png",4,220,900)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-0.0370110598</v>
      </c>
      <c r="G3429" t="n">
        <v>0.2674974544913103</v>
      </c>
      <c r="H3429" t="n">
        <v>0.009809999945124499</v>
      </c>
      <c r="I3429" t="n">
        <v>0.7525638599116247</v>
      </c>
      <c r="J3429" t="n">
        <v>0.1141118631363125</v>
      </c>
      <c r="K3429" t="n">
        <v>0.1839761684311813</v>
      </c>
      <c r="L3429" t="b">
        <v>0</v>
      </c>
      <c r="M3429" t="b">
        <v>0</v>
      </c>
      <c r="N3429" t="inlineStr">
        <is>
          <t>ref</t>
        </is>
      </c>
      <c r="O3429" t="n">
        <v>100</v>
      </c>
      <c r="P3429" t="n">
        <v>0.05804</v>
      </c>
      <c r="Q3429" t="n">
        <v>100</v>
      </c>
      <c r="R3429" t="n">
        <v>0.09279999999999999</v>
      </c>
      <c r="S3429">
        <f>IMAGE("https://mitra.stanford.edu/kundaje/oak/projects/neuro-variants/variant_position/credible/roussos_2024/variant_figures/roussos_2024.infant.GLU/rs12153071_count_position.png",4,220,900)</f>
        <v/>
      </c>
      <c r="T3429">
        <f>IMAGE("https://mitra.stanford.edu/kundaje/oak/projects/neuro-variants/variant_position/credible/roussos_2024/variant_figures/roussos_2024.infant.GLU/rs12153071_profile_position.png",4,220,900)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0.0325340532</v>
      </c>
      <c r="G3430" t="n">
        <v>0.2914651443329116</v>
      </c>
      <c r="H3430" t="n">
        <v>0.0212420422181889</v>
      </c>
      <c r="I3430" t="n">
        <v>0.1569272248729157</v>
      </c>
      <c r="J3430" t="n">
        <v>0.0291011706607287</v>
      </c>
      <c r="K3430" t="n">
        <v>0.467901244852847</v>
      </c>
      <c r="L3430" t="b">
        <v>0</v>
      </c>
      <c r="M3430" t="b">
        <v>0</v>
      </c>
      <c r="N3430" t="inlineStr">
        <is>
          <t>alt</t>
        </is>
      </c>
      <c r="O3430" t="n">
        <v>-85</v>
      </c>
      <c r="P3430" t="n">
        <v>0.02925</v>
      </c>
      <c r="Q3430" t="n">
        <v>-80</v>
      </c>
      <c r="R3430" t="n">
        <v>0.08276</v>
      </c>
      <c r="S3430">
        <f>IMAGE("https://mitra.stanford.edu/kundaje/oak/projects/neuro-variants/variant_position/credible/roussos_2024/variant_figures/roussos_2024.infant.GLU/rs4958587_count_position.png",4,220,900)</f>
        <v/>
      </c>
      <c r="T3430">
        <f>IMAGE("https://mitra.stanford.edu/kundaje/oak/projects/neuro-variants/variant_position/credible/roussos_2024/variant_figures/roussos_2024.infant.GLU/rs4958587_profile_position.png",4,220,900)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0.0117450901999999</v>
      </c>
      <c r="G3431" t="n">
        <v>0.5812506803678607</v>
      </c>
      <c r="H3431" t="n">
        <v>0.0375699238672684</v>
      </c>
      <c r="I3431" t="n">
        <v>0.0262354284599364</v>
      </c>
      <c r="J3431" t="n">
        <v>0.1142011508190215</v>
      </c>
      <c r="K3431" t="n">
        <v>0.1860438255766979</v>
      </c>
      <c r="L3431" t="b">
        <v>0</v>
      </c>
      <c r="M3431" t="b">
        <v>0</v>
      </c>
      <c r="N3431" t="inlineStr">
        <is>
          <t>alt</t>
        </is>
      </c>
      <c r="O3431" t="n">
        <v>-90</v>
      </c>
      <c r="P3431" t="n">
        <v>0.01355</v>
      </c>
      <c r="Q3431" t="n">
        <v>-90</v>
      </c>
      <c r="R3431" t="n">
        <v>0.01907</v>
      </c>
      <c r="S3431">
        <f>IMAGE("https://mitra.stanford.edu/kundaje/oak/projects/neuro-variants/variant_position/credible/roussos_2024/variant_figures/roussos_2024.infant.GLU/rs72802890_count_position.png",4,220,900)</f>
        <v/>
      </c>
      <c r="T3431">
        <f>IMAGE("https://mitra.stanford.edu/kundaje/oak/projects/neuro-variants/variant_position/credible/roussos_2024/variant_figures/roussos_2024.infant.GLU/rs72802890_profile_position.png",4,220,900)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-0.0004957484399999</v>
      </c>
      <c r="G3432" t="n">
        <v>0.8168016578866761</v>
      </c>
      <c r="H3432" t="n">
        <v>0.0114776160955912</v>
      </c>
      <c r="I3432" t="n">
        <v>0.6056306067346318</v>
      </c>
      <c r="J3432" t="n">
        <v>0.0422242553848188</v>
      </c>
      <c r="K3432" t="n">
        <v>0.3826550173793095</v>
      </c>
      <c r="L3432" t="b">
        <v>0</v>
      </c>
      <c r="M3432" t="b">
        <v>0</v>
      </c>
      <c r="N3432" t="inlineStr">
        <is>
          <t>ref</t>
        </is>
      </c>
      <c r="O3432" t="n">
        <v>-5</v>
      </c>
      <c r="P3432" t="n">
        <v>0.003601</v>
      </c>
      <c r="Q3432" t="n">
        <v>100</v>
      </c>
      <c r="R3432" t="n">
        <v>0.186</v>
      </c>
      <c r="S3432">
        <f>IMAGE("https://mitra.stanford.edu/kundaje/oak/projects/neuro-variants/variant_position/credible/roussos_2024/variant_figures/roussos_2024.infant.GLU/rs72802893_count_position.png",4,220,900)</f>
        <v/>
      </c>
      <c r="T3432">
        <f>IMAGE("https://mitra.stanford.edu/kundaje/oak/projects/neuro-variants/variant_position/credible/roussos_2024/variant_figures/roussos_2024.infant.GLU/rs72802893_profile_position.png",4,220,900)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-0.0009938064319998999</v>
      </c>
      <c r="G3433" t="n">
        <v>0.8440540987301196</v>
      </c>
      <c r="H3433" t="n">
        <v>0.0078067498025121</v>
      </c>
      <c r="I3433" t="n">
        <v>0.9161803451452304</v>
      </c>
      <c r="J3433" t="n">
        <v>0.0010306664609007</v>
      </c>
      <c r="K3433" t="n">
        <v>0.8983867247685579</v>
      </c>
      <c r="L3433" t="b">
        <v>0</v>
      </c>
      <c r="M3433" t="b">
        <v>0</v>
      </c>
      <c r="N3433" t="inlineStr">
        <is>
          <t>ref</t>
        </is>
      </c>
      <c r="O3433" t="n">
        <v>55</v>
      </c>
      <c r="P3433" t="n">
        <v>0.00675</v>
      </c>
      <c r="Q3433" t="n">
        <v>35</v>
      </c>
      <c r="R3433" t="n">
        <v>0.03363</v>
      </c>
      <c r="S3433">
        <f>IMAGE("https://mitra.stanford.edu/kundaje/oak/projects/neuro-variants/variant_position/credible/roussos_2024/variant_figures/roussos_2024.infant.GLU/rs9324737_count_position.png",4,220,900)</f>
        <v/>
      </c>
      <c r="T3433">
        <f>IMAGE("https://mitra.stanford.edu/kundaje/oak/projects/neuro-variants/variant_position/credible/roussos_2024/variant_figures/roussos_2024.infant.GLU/rs9324737_profile_position.png",4,220,900)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0.06646875519999999</v>
      </c>
      <c r="G3434" t="n">
        <v>0.1309284356656794</v>
      </c>
      <c r="H3434" t="n">
        <v>0.0299440411321968</v>
      </c>
      <c r="I3434" t="n">
        <v>0.0580932301517221</v>
      </c>
      <c r="J3434" t="n">
        <v>0.0351330496704071</v>
      </c>
      <c r="K3434" t="n">
        <v>0.4131831478133062</v>
      </c>
      <c r="L3434" t="b">
        <v>0</v>
      </c>
      <c r="M3434" t="b">
        <v>0</v>
      </c>
      <c r="N3434" t="inlineStr">
        <is>
          <t>alt</t>
        </is>
      </c>
      <c r="O3434" t="n">
        <v>100</v>
      </c>
      <c r="P3434" t="n">
        <v>0.1343</v>
      </c>
      <c r="Q3434" t="n">
        <v>100</v>
      </c>
      <c r="R3434" t="n">
        <v>0.052</v>
      </c>
      <c r="S3434">
        <f>IMAGE("https://mitra.stanford.edu/kundaje/oak/projects/neuro-variants/variant_position/credible/roussos_2024/variant_figures/roussos_2024.infant.GLU/rs11167604_count_position.png",4,220,900)</f>
        <v/>
      </c>
      <c r="T3434">
        <f>IMAGE("https://mitra.stanford.edu/kundaje/oak/projects/neuro-variants/variant_position/credible/roussos_2024/variant_figures/roussos_2024.infant.GLU/rs11167604_profile_position.png",4,220,900)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-0.01845630128</v>
      </c>
      <c r="G3435" t="n">
        <v>0.2651872106875564</v>
      </c>
      <c r="H3435" t="n">
        <v>0.0356711136245261</v>
      </c>
      <c r="I3435" t="n">
        <v>0.0318518856523301</v>
      </c>
      <c r="J3435" t="n">
        <v>0.1029972001146409</v>
      </c>
      <c r="K3435" t="n">
        <v>0.2017328106060379</v>
      </c>
      <c r="L3435" t="b">
        <v>0</v>
      </c>
      <c r="M3435" t="b">
        <v>0</v>
      </c>
      <c r="N3435" t="inlineStr">
        <is>
          <t>ref</t>
        </is>
      </c>
      <c r="O3435" t="n">
        <v>-45</v>
      </c>
      <c r="P3435" t="n">
        <v>0.00525</v>
      </c>
      <c r="Q3435" t="n">
        <v>70</v>
      </c>
      <c r="R3435" t="n">
        <v>0.02826</v>
      </c>
      <c r="S3435">
        <f>IMAGE("https://mitra.stanford.edu/kundaje/oak/projects/neuro-variants/variant_position/credible/roussos_2024/variant_figures/roussos_2024.infant.GLU/rs4463219_count_position.png",4,220,900)</f>
        <v/>
      </c>
      <c r="T3435">
        <f>IMAGE("https://mitra.stanford.edu/kundaje/oak/projects/neuro-variants/variant_position/credible/roussos_2024/variant_figures/roussos_2024.infant.GLU/rs4463219_profile_position.png",4,220,900)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0.0075624241999999</v>
      </c>
      <c r="G3436" t="n">
        <v>0.5083411683390643</v>
      </c>
      <c r="H3436" t="n">
        <v>0.0099942939011859</v>
      </c>
      <c r="I3436" t="n">
        <v>0.7322161056953105</v>
      </c>
      <c r="J3436" t="n">
        <v>0.1145142088670384</v>
      </c>
      <c r="K3436" t="n">
        <v>0.1837253831125042</v>
      </c>
      <c r="L3436" t="b">
        <v>0</v>
      </c>
      <c r="M3436" t="b">
        <v>0</v>
      </c>
      <c r="N3436" t="inlineStr">
        <is>
          <t>alt</t>
        </is>
      </c>
      <c r="O3436" t="n">
        <v>-90</v>
      </c>
      <c r="P3436" t="n">
        <v>0.01465</v>
      </c>
      <c r="Q3436" t="n">
        <v>-100</v>
      </c>
      <c r="R3436" t="n">
        <v>0.1855</v>
      </c>
      <c r="S3436">
        <f>IMAGE("https://mitra.stanford.edu/kundaje/oak/projects/neuro-variants/variant_position/credible/roussos_2024/variant_figures/roussos_2024.infant.GLU/rs72804778_count_position.png",4,220,900)</f>
        <v/>
      </c>
      <c r="T3436">
        <f>IMAGE("https://mitra.stanford.edu/kundaje/oak/projects/neuro-variants/variant_position/credible/roussos_2024/variant_figures/roussos_2024.infant.GLU/rs72804778_profile_position.png",4,220,900)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0.0449677342</v>
      </c>
      <c r="G3437" t="n">
        <v>0.2087945797944597</v>
      </c>
      <c r="H3437" t="n">
        <v>0.0269390971798427</v>
      </c>
      <c r="I3437" t="n">
        <v>0.0806890344443663</v>
      </c>
      <c r="J3437" t="n">
        <v>0.1551665601093498</v>
      </c>
      <c r="K3437" t="n">
        <v>0.1390166534460631</v>
      </c>
      <c r="L3437" t="b">
        <v>0</v>
      </c>
      <c r="M3437" t="b">
        <v>0</v>
      </c>
      <c r="N3437" t="inlineStr">
        <is>
          <t>alt</t>
        </is>
      </c>
      <c r="O3437" t="n">
        <v>-100</v>
      </c>
      <c r="P3437" t="n">
        <v>0.0139</v>
      </c>
      <c r="Q3437" t="n">
        <v>-15</v>
      </c>
      <c r="R3437" t="n">
        <v>0.03967</v>
      </c>
      <c r="S3437">
        <f>IMAGE("https://mitra.stanford.edu/kundaje/oak/projects/neuro-variants/variant_position/credible/roussos_2024/variant_figures/roussos_2024.infant.GLU/rs72804781_count_position.png",4,220,900)</f>
        <v/>
      </c>
      <c r="T3437">
        <f>IMAGE("https://mitra.stanford.edu/kundaje/oak/projects/neuro-variants/variant_position/credible/roussos_2024/variant_figures/roussos_2024.infant.GLU/rs72804781_profile_position.png",4,220,900)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0.0053215650799999</v>
      </c>
      <c r="G3438" t="n">
        <v>0.7703106637691104</v>
      </c>
      <c r="H3438" t="n">
        <v>0.008582191719569299</v>
      </c>
      <c r="I3438" t="n">
        <v>0.8549417632281621</v>
      </c>
      <c r="J3438" t="n">
        <v>0.0034877312110054</v>
      </c>
      <c r="K3438" t="n">
        <v>0.8247903633889794</v>
      </c>
      <c r="L3438" t="b">
        <v>0</v>
      </c>
      <c r="M3438" t="b">
        <v>0</v>
      </c>
      <c r="N3438" t="inlineStr">
        <is>
          <t>alt</t>
        </is>
      </c>
      <c r="O3438" t="n">
        <v>90</v>
      </c>
      <c r="P3438" t="n">
        <v>0.02011</v>
      </c>
      <c r="Q3438" t="n">
        <v>-100</v>
      </c>
      <c r="R3438" t="n">
        <v>0.0522</v>
      </c>
      <c r="S3438">
        <f>IMAGE("https://mitra.stanford.edu/kundaje/oak/projects/neuro-variants/variant_position/credible/roussos_2024/variant_figures/roussos_2024.infant.GLU/rs116618941_count_position.png",4,220,900)</f>
        <v/>
      </c>
      <c r="T3438">
        <f>IMAGE("https://mitra.stanford.edu/kundaje/oak/projects/neuro-variants/variant_position/credible/roussos_2024/variant_figures/roussos_2024.infant.GLU/rs116618941_profile_position.png",4,220,900)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-0.0887817108</v>
      </c>
      <c r="G3439" t="n">
        <v>0.07095112502894139</v>
      </c>
      <c r="H3439" t="n">
        <v>0.0156559667760162</v>
      </c>
      <c r="I3439" t="n">
        <v>0.3275513774457248</v>
      </c>
      <c r="J3439" t="n">
        <v>0.0835016204060935</v>
      </c>
      <c r="K3439" t="n">
        <v>0.2399503214007639</v>
      </c>
      <c r="L3439" t="b">
        <v>0</v>
      </c>
      <c r="M3439" t="b">
        <v>0</v>
      </c>
      <c r="N3439" t="inlineStr">
        <is>
          <t>ref</t>
        </is>
      </c>
      <c r="O3439" t="n">
        <v>40</v>
      </c>
      <c r="P3439" t="n">
        <v>0.002144</v>
      </c>
      <c r="Q3439" t="n">
        <v>-50</v>
      </c>
      <c r="R3439" t="n">
        <v>0.0371</v>
      </c>
      <c r="S3439">
        <f>IMAGE("https://mitra.stanford.edu/kundaje/oak/projects/neuro-variants/variant_position/credible/roussos_2024/variant_figures/roussos_2024.infant.GLU/rs72804789_count_position.png",4,220,900)</f>
        <v/>
      </c>
      <c r="T3439">
        <f>IMAGE("https://mitra.stanford.edu/kundaje/oak/projects/neuro-variants/variant_position/credible/roussos_2024/variant_figures/roussos_2024.infant.GLU/rs72804789_profile_position.png",4,220,900)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-0.0076685412</v>
      </c>
      <c r="G3440" t="n">
        <v>0.718097089477474</v>
      </c>
      <c r="H3440" t="n">
        <v>0.0202947085415149</v>
      </c>
      <c r="I3440" t="n">
        <v>0.1817006641645094</v>
      </c>
      <c r="J3440" t="n">
        <v>0.2477920589078242</v>
      </c>
      <c r="K3440" t="n">
        <v>0.0859783837879778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0.0094</v>
      </c>
      <c r="Q3440" t="n">
        <v>55</v>
      </c>
      <c r="R3440" t="n">
        <v>0.0684</v>
      </c>
      <c r="S3440">
        <f>IMAGE("https://mitra.stanford.edu/kundaje/oak/projects/neuro-variants/variant_position/credible/roussos_2024/variant_figures/roussos_2024.infant.GLU/rs184754715_count_position.png",4,220,900)</f>
        <v/>
      </c>
      <c r="T3440">
        <f>IMAGE("https://mitra.stanford.edu/kundaje/oak/projects/neuro-variants/variant_position/credible/roussos_2024/variant_figures/roussos_2024.infant.GLU/rs184754715_profile_position.png",4,220,900)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0.0040073994</v>
      </c>
      <c r="G3441" t="n">
        <v>0.6279181245467251</v>
      </c>
      <c r="H3441" t="n">
        <v>0.0178627327109882</v>
      </c>
      <c r="I3441" t="n">
        <v>0.2416732415238955</v>
      </c>
      <c r="J3441" t="n">
        <v>0.0442514164774355</v>
      </c>
      <c r="K3441" t="n">
        <v>0.3697652851477606</v>
      </c>
      <c r="L3441" t="b">
        <v>0</v>
      </c>
      <c r="M3441" t="b">
        <v>0</v>
      </c>
      <c r="N3441" t="inlineStr">
        <is>
          <t>alt</t>
        </is>
      </c>
      <c r="O3441" t="n">
        <v>-75</v>
      </c>
      <c r="P3441" t="n">
        <v>0.0583</v>
      </c>
      <c r="Q3441" t="n">
        <v>-65</v>
      </c>
      <c r="R3441" t="n">
        <v>0.133</v>
      </c>
      <c r="S3441">
        <f>IMAGE("https://mitra.stanford.edu/kundaje/oak/projects/neuro-variants/variant_position/credible/roussos_2024/variant_figures/roussos_2024.infant.GLU/rs75040818_count_position.png",4,220,900)</f>
        <v/>
      </c>
      <c r="T3441">
        <f>IMAGE("https://mitra.stanford.edu/kundaje/oak/projects/neuro-variants/variant_position/credible/roussos_2024/variant_figures/roussos_2024.infant.GLU/rs75040818_profile_position.png",4,220,900)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-0.070708144</v>
      </c>
      <c r="G3442" t="n">
        <v>0.0964587498579046</v>
      </c>
      <c r="H3442" t="n">
        <v>0.0152181358139687</v>
      </c>
      <c r="I3442" t="n">
        <v>0.3497477801600323</v>
      </c>
      <c r="J3442" t="n">
        <v>0.5342137172336251</v>
      </c>
      <c r="K3442" t="n">
        <v>0.0271833237512225</v>
      </c>
      <c r="L3442" t="b">
        <v>0</v>
      </c>
      <c r="M3442" t="b">
        <v>0</v>
      </c>
      <c r="N3442" t="inlineStr">
        <is>
          <t>ref</t>
        </is>
      </c>
      <c r="O3442" t="n">
        <v>100</v>
      </c>
      <c r="P3442" t="n">
        <v>0.0108</v>
      </c>
      <c r="Q3442" t="n">
        <v>65</v>
      </c>
      <c r="R3442" t="n">
        <v>0.0674</v>
      </c>
      <c r="S3442">
        <f>IMAGE("https://mitra.stanford.edu/kundaje/oak/projects/neuro-variants/variant_position/credible/roussos_2024/variant_figures/roussos_2024.infant.GLU/rs73802032_count_position.png",4,220,900)</f>
        <v/>
      </c>
      <c r="T3442">
        <f>IMAGE("https://mitra.stanford.edu/kundaje/oak/projects/neuro-variants/variant_position/credible/roussos_2024/variant_figures/roussos_2024.infant.GLU/rs73802032_profile_position.png",4,220,900)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0.0052896927399999</v>
      </c>
      <c r="G3443" t="n">
        <v>0.6152554512811714</v>
      </c>
      <c r="H3443" t="n">
        <v>0.0333704752630364</v>
      </c>
      <c r="I3443" t="n">
        <v>0.0403625679145631</v>
      </c>
      <c r="J3443" t="n">
        <v>0.07062876165700289</v>
      </c>
      <c r="K3443" t="n">
        <v>0.2776034749738885</v>
      </c>
      <c r="L3443" t="b">
        <v>0</v>
      </c>
      <c r="M3443" t="b">
        <v>0</v>
      </c>
      <c r="N3443" t="inlineStr">
        <is>
          <t>alt</t>
        </is>
      </c>
      <c r="O3443" t="n">
        <v>-15</v>
      </c>
      <c r="P3443" t="n">
        <v>0.01965</v>
      </c>
      <c r="Q3443" t="n">
        <v>90</v>
      </c>
      <c r="R3443" t="n">
        <v>0.2268</v>
      </c>
      <c r="S3443">
        <f>IMAGE("https://mitra.stanford.edu/kundaje/oak/projects/neuro-variants/variant_position/credible/roussos_2024/variant_figures/roussos_2024.infant.GLU/rs6868545_count_position.png",4,220,900)</f>
        <v/>
      </c>
      <c r="T3443">
        <f>IMAGE("https://mitra.stanford.edu/kundaje/oak/projects/neuro-variants/variant_position/credible/roussos_2024/variant_figures/roussos_2024.infant.GLU/rs6868545_profile_position.png",4,220,900)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-0.06226633512</v>
      </c>
      <c r="G3444" t="n">
        <v>0.1919513531744497</v>
      </c>
      <c r="H3444" t="n">
        <v>0.0134770039280116</v>
      </c>
      <c r="I3444" t="n">
        <v>0.4566710248328798</v>
      </c>
      <c r="J3444" t="n">
        <v>0.20722458607994</v>
      </c>
      <c r="K3444" t="n">
        <v>0.1154592442853201</v>
      </c>
      <c r="L3444" t="b">
        <v>0</v>
      </c>
      <c r="M3444" t="b">
        <v>0</v>
      </c>
      <c r="N3444" t="inlineStr">
        <is>
          <t>ref</t>
        </is>
      </c>
      <c r="O3444" t="n">
        <v>0</v>
      </c>
      <c r="P3444" t="n">
        <v>0</v>
      </c>
      <c r="Q3444" t="n">
        <v>55</v>
      </c>
      <c r="R3444" t="n">
        <v>0.02295</v>
      </c>
      <c r="S3444">
        <f>IMAGE("https://mitra.stanford.edu/kundaje/oak/projects/neuro-variants/variant_position/credible/roussos_2024/variant_figures/roussos_2024.infant.GLU/rs2118792_count_position.png",4,220,900)</f>
        <v/>
      </c>
      <c r="T3444">
        <f>IMAGE("https://mitra.stanford.edu/kundaje/oak/projects/neuro-variants/variant_position/credible/roussos_2024/variant_figures/roussos_2024.infant.GLU/rs2118792_profile_position.png",4,220,900)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0.137411458</v>
      </c>
      <c r="G3445" t="n">
        <v>0.0268051023150033</v>
      </c>
      <c r="H3445" t="n">
        <v>0.0244231977490525</v>
      </c>
      <c r="I3445" t="n">
        <v>0.1107334609358406</v>
      </c>
      <c r="J3445" t="n">
        <v>0.187272647104213</v>
      </c>
      <c r="K3445" t="n">
        <v>0.120831833021837</v>
      </c>
      <c r="L3445" t="b">
        <v>0</v>
      </c>
      <c r="M3445" t="b">
        <v>0</v>
      </c>
      <c r="N3445" t="inlineStr">
        <is>
          <t>alt</t>
        </is>
      </c>
      <c r="O3445" t="n">
        <v>100</v>
      </c>
      <c r="P3445" t="n">
        <v>0.02419</v>
      </c>
      <c r="Q3445" t="n">
        <v>70</v>
      </c>
      <c r="R3445" t="n">
        <v>0.03516</v>
      </c>
      <c r="S3445">
        <f>IMAGE("https://mitra.stanford.edu/kundaje/oak/projects/neuro-variants/variant_position/credible/roussos_2024/variant_figures/roussos_2024.infant.GLU/rs2962809_count_position.png",4,220,900)</f>
        <v/>
      </c>
      <c r="T3445">
        <f>IMAGE("https://mitra.stanford.edu/kundaje/oak/projects/neuro-variants/variant_position/credible/roussos_2024/variant_figures/roussos_2024.infant.GLU/rs2962809_profile_position.png",4,220,900)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-0.1738446988</v>
      </c>
      <c r="G3446" t="n">
        <v>0.0154604435022197</v>
      </c>
      <c r="H3446" t="n">
        <v>0.0221842098935876</v>
      </c>
      <c r="I3446" t="n">
        <v>0.1474644228491759</v>
      </c>
      <c r="J3446" t="n">
        <v>0.0218798915320002</v>
      </c>
      <c r="K3446" t="n">
        <v>0.5239543261438921</v>
      </c>
      <c r="L3446" t="b">
        <v>1</v>
      </c>
      <c r="M3446" t="b">
        <v>0</v>
      </c>
      <c r="N3446" t="inlineStr">
        <is>
          <t>ref</t>
        </is>
      </c>
      <c r="O3446" t="n">
        <v>-15</v>
      </c>
      <c r="P3446" t="n">
        <v>0.00282</v>
      </c>
      <c r="Q3446" t="n">
        <v>-90</v>
      </c>
      <c r="R3446" t="n">
        <v>0.0733</v>
      </c>
      <c r="S3446">
        <f>IMAGE("https://mitra.stanford.edu/kundaje/oak/projects/neuro-variants/variant_position/credible/roussos_2024/variant_figures/roussos_2024.infant.GLU/rs2973157_count_position.png",4,220,900)</f>
        <v/>
      </c>
      <c r="T3446">
        <f>IMAGE("https://mitra.stanford.edu/kundaje/oak/projects/neuro-variants/variant_position/credible/roussos_2024/variant_figures/roussos_2024.infant.GLU/rs2973157_profile_position.png",4,220,900)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0.0558273442</v>
      </c>
      <c r="G3447" t="n">
        <v>0.1355095324615413</v>
      </c>
      <c r="H3447" t="n">
        <v>0.0208348515564153</v>
      </c>
      <c r="I3447" t="n">
        <v>0.1668498633967132</v>
      </c>
      <c r="J3447" t="n">
        <v>0.0158314777662646</v>
      </c>
      <c r="K3447" t="n">
        <v>0.585984699124797</v>
      </c>
      <c r="L3447" t="b">
        <v>0</v>
      </c>
      <c r="M3447" t="b">
        <v>0</v>
      </c>
      <c r="N3447" t="inlineStr">
        <is>
          <t>alt</t>
        </is>
      </c>
      <c r="O3447" t="n">
        <v>-30</v>
      </c>
      <c r="P3447" t="n">
        <v>0.01147</v>
      </c>
      <c r="Q3447" t="n">
        <v>70</v>
      </c>
      <c r="R3447" t="n">
        <v>0.02332</v>
      </c>
      <c r="S3447">
        <f>IMAGE("https://mitra.stanford.edu/kundaje/oak/projects/neuro-variants/variant_position/credible/roussos_2024/variant_figures/roussos_2024.infant.GLU/rs2910030_count_position.png",4,220,900)</f>
        <v/>
      </c>
      <c r="T3447">
        <f>IMAGE("https://mitra.stanford.edu/kundaje/oak/projects/neuro-variants/variant_position/credible/roussos_2024/variant_figures/roussos_2024.infant.GLU/rs2910030_profile_position.png",4,220,900)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-0.0441525323999999</v>
      </c>
      <c r="G3448" t="n">
        <v>0.2244636984916218</v>
      </c>
      <c r="H3448" t="n">
        <v>0.0130752943081584</v>
      </c>
      <c r="I3448" t="n">
        <v>0.4774851241032965</v>
      </c>
      <c r="J3448" t="n">
        <v>0.0416764038007892</v>
      </c>
      <c r="K3448" t="n">
        <v>0.3894404468864707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0.03143</v>
      </c>
      <c r="Q3448" t="n">
        <v>25</v>
      </c>
      <c r="R3448" t="n">
        <v>0.02222</v>
      </c>
      <c r="S3448">
        <f>IMAGE("https://mitra.stanford.edu/kundaje/oak/projects/neuro-variants/variant_position/credible/roussos_2024/variant_figures/roussos_2024.infant.GLU/rs2910032_count_position.png",4,220,900)</f>
        <v/>
      </c>
      <c r="T3448">
        <f>IMAGE("https://mitra.stanford.edu/kundaje/oak/projects/neuro-variants/variant_position/credible/roussos_2024/variant_figures/roussos_2024.infant.GLU/rs2910032_profile_position.png",4,220,900)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0.0869750224</v>
      </c>
      <c r="G3449" t="n">
        <v>0.0809246610001591</v>
      </c>
      <c r="H3449" t="n">
        <v>0.019946275461347</v>
      </c>
      <c r="I3449" t="n">
        <v>0.1909672189084373</v>
      </c>
      <c r="J3449" t="n">
        <v>0.0214378623867368</v>
      </c>
      <c r="K3449" t="n">
        <v>0.5268707982906107</v>
      </c>
      <c r="L3449" t="b">
        <v>0</v>
      </c>
      <c r="M3449" t="b">
        <v>0</v>
      </c>
      <c r="N3449" t="inlineStr">
        <is>
          <t>alt</t>
        </is>
      </c>
      <c r="O3449" t="n">
        <v>-60</v>
      </c>
      <c r="P3449" t="n">
        <v>0.00728</v>
      </c>
      <c r="Q3449" t="n">
        <v>-100</v>
      </c>
      <c r="R3449" t="n">
        <v>0.02588</v>
      </c>
      <c r="S3449">
        <f>IMAGE("https://mitra.stanford.edu/kundaje/oak/projects/neuro-variants/variant_position/credible/roussos_2024/variant_figures/roussos_2024.infant.GLU/rs2973138_count_position.png",4,220,900)</f>
        <v/>
      </c>
      <c r="T3449">
        <f>IMAGE("https://mitra.stanford.edu/kundaje/oak/projects/neuro-variants/variant_position/credible/roussos_2024/variant_figures/roussos_2024.infant.GLU/rs2973138_profile_position.png",4,220,900)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0.0725479676</v>
      </c>
      <c r="G3450" t="n">
        <v>0.092655131021311</v>
      </c>
      <c r="H3450" t="n">
        <v>0.0157634706485226</v>
      </c>
      <c r="I3450" t="n">
        <v>0.3291312346693331</v>
      </c>
      <c r="J3450" t="n">
        <v>0.0126623161886284</v>
      </c>
      <c r="K3450" t="n">
        <v>0.6240274240537786</v>
      </c>
      <c r="L3450" t="b">
        <v>0</v>
      </c>
      <c r="M3450" t="b">
        <v>0</v>
      </c>
      <c r="N3450" t="inlineStr">
        <is>
          <t>alt</t>
        </is>
      </c>
      <c r="O3450" t="n">
        <v>-45</v>
      </c>
      <c r="P3450" t="n">
        <v>0.007515</v>
      </c>
      <c r="Q3450" t="n">
        <v>30</v>
      </c>
      <c r="R3450" t="n">
        <v>0.03497</v>
      </c>
      <c r="S3450">
        <f>IMAGE("https://mitra.stanford.edu/kundaje/oak/projects/neuro-variants/variant_position/credible/roussos_2024/variant_figures/roussos_2024.infant.GLU/rs2962826_count_position.png",4,220,900)</f>
        <v/>
      </c>
      <c r="T3450">
        <f>IMAGE("https://mitra.stanford.edu/kundaje/oak/projects/neuro-variants/variant_position/credible/roussos_2024/variant_figures/roussos_2024.infant.GLU/rs2962826_profile_position.png",4,220,900)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0.0520823228</v>
      </c>
      <c r="G3451" t="n">
        <v>0.1511338232942994</v>
      </c>
      <c r="H3451" t="n">
        <v>0.0548602709043133</v>
      </c>
      <c r="I3451" t="n">
        <v>0.0047904696907871</v>
      </c>
      <c r="J3451" t="n">
        <v>0.0013161665821556</v>
      </c>
      <c r="K3451" t="n">
        <v>0.8784191294320036</v>
      </c>
      <c r="L3451" t="b">
        <v>0</v>
      </c>
      <c r="M3451" t="b">
        <v>0</v>
      </c>
      <c r="N3451" t="inlineStr">
        <is>
          <t>alt</t>
        </is>
      </c>
      <c r="O3451" t="n">
        <v>-100</v>
      </c>
      <c r="P3451" t="n">
        <v>0.00551</v>
      </c>
      <c r="Q3451" t="n">
        <v>100</v>
      </c>
      <c r="R3451" t="n">
        <v>0.08434999999999999</v>
      </c>
      <c r="S3451">
        <f>IMAGE("https://mitra.stanford.edu/kundaje/oak/projects/neuro-variants/variant_position/credible/roussos_2024/variant_figures/roussos_2024.infant.GLU/rs55827458_count_position.png",4,220,900)</f>
        <v/>
      </c>
      <c r="T3451">
        <f>IMAGE("https://mitra.stanford.edu/kundaje/oak/projects/neuro-variants/variant_position/credible/roussos_2024/variant_figures/roussos_2024.infant.GLU/rs55827458_profile_position.png",4,220,900)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0.0068867081</v>
      </c>
      <c r="G3452" t="n">
        <v>0.5995889733242907</v>
      </c>
      <c r="H3452" t="n">
        <v>0.030769601447854</v>
      </c>
      <c r="I3452" t="n">
        <v>0.0530370186830433</v>
      </c>
      <c r="J3452" t="n">
        <v>0.0126127119204567</v>
      </c>
      <c r="K3452" t="n">
        <v>0.6297750727074053</v>
      </c>
      <c r="L3452" t="b">
        <v>0</v>
      </c>
      <c r="M3452" t="b">
        <v>0</v>
      </c>
      <c r="N3452" t="inlineStr">
        <is>
          <t>alt</t>
        </is>
      </c>
      <c r="O3452" t="n">
        <v>95</v>
      </c>
      <c r="P3452" t="n">
        <v>0.02026</v>
      </c>
      <c r="Q3452" t="n">
        <v>60</v>
      </c>
      <c r="R3452" t="n">
        <v>0.0411</v>
      </c>
      <c r="S3452">
        <f>IMAGE("https://mitra.stanford.edu/kundaje/oak/projects/neuro-variants/variant_position/credible/roussos_2024/variant_figures/roussos_2024.infant.GLU/rs7717923_count_position.png",4,220,900)</f>
        <v/>
      </c>
      <c r="T3452">
        <f>IMAGE("https://mitra.stanford.edu/kundaje/oak/projects/neuro-variants/variant_position/credible/roussos_2024/variant_figures/roussos_2024.infant.GLU/rs7717923_profile_position.png",4,220,900)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-0.399758992</v>
      </c>
      <c r="G3453" t="n">
        <v>0.0011915226768993</v>
      </c>
      <c r="H3453" t="n">
        <v>0.0598072586929062</v>
      </c>
      <c r="I3453" t="n">
        <v>0.0033897158538728</v>
      </c>
      <c r="J3453" t="n">
        <v>0.1728069401882757</v>
      </c>
      <c r="K3453" t="n">
        <v>0.1253849831514924</v>
      </c>
      <c r="L3453" t="b">
        <v>1</v>
      </c>
      <c r="M3453" t="b">
        <v>1</v>
      </c>
      <c r="N3453" t="inlineStr">
        <is>
          <t>ref</t>
        </is>
      </c>
      <c r="O3453" t="n">
        <v>-15</v>
      </c>
      <c r="P3453" t="n">
        <v>0.03735</v>
      </c>
      <c r="Q3453" t="n">
        <v>-15</v>
      </c>
      <c r="R3453" t="n">
        <v>0.05322</v>
      </c>
      <c r="S3453">
        <f>IMAGE("https://mitra.stanford.edu/kundaje/oak/projects/neuro-variants/variant_position/credible/roussos_2024/variant_figures/roussos_2024.infant.GLU/rs1870861_count_position.png",4,220,900)</f>
        <v/>
      </c>
      <c r="T3453">
        <f>IMAGE("https://mitra.stanford.edu/kundaje/oak/projects/neuro-variants/variant_position/credible/roussos_2024/variant_figures/roussos_2024.infant.GLU/rs1870861_profile_position.png",4,220,900)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0.01926403446</v>
      </c>
      <c r="G3454" t="n">
        <v>0.3497101575808574</v>
      </c>
      <c r="H3454" t="n">
        <v>0.0102579207178631</v>
      </c>
      <c r="I3454" t="n">
        <v>0.716452761238627</v>
      </c>
      <c r="J3454" t="n">
        <v>0.2075762252254238</v>
      </c>
      <c r="K3454" t="n">
        <v>0.1065343313064582</v>
      </c>
      <c r="L3454" t="b">
        <v>0</v>
      </c>
      <c r="M3454" t="b">
        <v>0</v>
      </c>
      <c r="N3454" t="inlineStr">
        <is>
          <t>alt</t>
        </is>
      </c>
      <c r="O3454" t="n">
        <v>-75</v>
      </c>
      <c r="P3454" t="n">
        <v>0.0172</v>
      </c>
      <c r="Q3454" t="n">
        <v>-5</v>
      </c>
      <c r="R3454" t="n">
        <v>0.001221</v>
      </c>
      <c r="S3454">
        <f>IMAGE("https://mitra.stanford.edu/kundaje/oak/projects/neuro-variants/variant_position/credible/roussos_2024/variant_figures/roussos_2024.infant.GLU/rs1462120_count_position.png",4,220,900)</f>
        <v/>
      </c>
      <c r="T3454">
        <f>IMAGE("https://mitra.stanford.edu/kundaje/oak/projects/neuro-variants/variant_position/credible/roussos_2024/variant_figures/roussos_2024.infant.GLU/rs1462120_profile_position.png",4,220,900)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0.00050001732</v>
      </c>
      <c r="G3455" t="n">
        <v>0.750125866331301</v>
      </c>
      <c r="H3455" t="n">
        <v>0.0144988889307405</v>
      </c>
      <c r="I3455" t="n">
        <v>0.3872169313217224</v>
      </c>
      <c r="J3455" t="n">
        <v>0.0001741660971361</v>
      </c>
      <c r="K3455" t="n">
        <v>0.9697230201036808</v>
      </c>
      <c r="L3455" t="b">
        <v>0</v>
      </c>
      <c r="M3455" t="b">
        <v>0</v>
      </c>
      <c r="N3455" t="inlineStr">
        <is>
          <t>alt</t>
        </is>
      </c>
      <c r="O3455" t="n">
        <v>100</v>
      </c>
      <c r="P3455" t="n">
        <v>0.0886</v>
      </c>
      <c r="Q3455" t="n">
        <v>100</v>
      </c>
      <c r="R3455" t="n">
        <v>0.157</v>
      </c>
      <c r="S3455">
        <f>IMAGE("https://mitra.stanford.edu/kundaje/oak/projects/neuro-variants/variant_position/credible/roussos_2024/variant_figures/roussos_2024.infant.GLU/rs3112532_count_position.png",4,220,900)</f>
        <v/>
      </c>
      <c r="T3455">
        <f>IMAGE("https://mitra.stanford.edu/kundaje/oak/projects/neuro-variants/variant_position/credible/roussos_2024/variant_figures/roussos_2024.infant.GLU/rs3112532_profile_position.png",4,220,900)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-0.1512057539999999</v>
      </c>
      <c r="G3456" t="n">
        <v>0.0227851800173891</v>
      </c>
      <c r="H3456" t="n">
        <v>0.0201668920756157</v>
      </c>
      <c r="I3456" t="n">
        <v>0.1871396688517786</v>
      </c>
      <c r="J3456" t="n">
        <v>0.0088218435150686</v>
      </c>
      <c r="K3456" t="n">
        <v>0.6917854171756166</v>
      </c>
      <c r="L3456" t="b">
        <v>0</v>
      </c>
      <c r="M3456" t="b">
        <v>0</v>
      </c>
      <c r="N3456" t="inlineStr">
        <is>
          <t>ref</t>
        </is>
      </c>
      <c r="O3456" t="n">
        <v>95</v>
      </c>
      <c r="P3456" t="n">
        <v>0.01228</v>
      </c>
      <c r="Q3456" t="n">
        <v>55</v>
      </c>
      <c r="R3456" t="n">
        <v>0.01811</v>
      </c>
      <c r="S3456">
        <f>IMAGE("https://mitra.stanford.edu/kundaje/oak/projects/neuro-variants/variant_position/credible/roussos_2024/variant_figures/roussos_2024.infant.GLU/rs296175_count_position.png",4,220,900)</f>
        <v/>
      </c>
      <c r="T3456">
        <f>IMAGE("https://mitra.stanford.edu/kundaje/oak/projects/neuro-variants/variant_position/credible/roussos_2024/variant_figures/roussos_2024.infant.GLU/rs296175_profile_position.png",4,220,900)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0.0853514826</v>
      </c>
      <c r="G3457" t="n">
        <v>0.0763901521513852</v>
      </c>
      <c r="H3457" t="n">
        <v>0.0159447011523189</v>
      </c>
      <c r="I3457" t="n">
        <v>0.3178278949685977</v>
      </c>
      <c r="J3457" t="n">
        <v>0.0644161026477655</v>
      </c>
      <c r="K3457" t="n">
        <v>0.3539212594585377</v>
      </c>
      <c r="L3457" t="b">
        <v>0</v>
      </c>
      <c r="M3457" t="b">
        <v>0</v>
      </c>
      <c r="N3457" t="inlineStr">
        <is>
          <t>alt</t>
        </is>
      </c>
      <c r="O3457" t="n">
        <v>100</v>
      </c>
      <c r="P3457" t="n">
        <v>0.02469</v>
      </c>
      <c r="Q3457" t="n">
        <v>-100</v>
      </c>
      <c r="R3457" t="n">
        <v>0.11206</v>
      </c>
      <c r="S3457">
        <f>IMAGE("https://mitra.stanford.edu/kundaje/oak/projects/neuro-variants/variant_position/credible/roussos_2024/variant_figures/roussos_2024.infant.GLU/rs2546328_count_position.png",4,220,900)</f>
        <v/>
      </c>
      <c r="T3457">
        <f>IMAGE("https://mitra.stanford.edu/kundaje/oak/projects/neuro-variants/variant_position/credible/roussos_2024/variant_figures/roussos_2024.infant.GLU/rs2546328_profile_position.png",4,220,900)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-0.000973840116</v>
      </c>
      <c r="G3458" t="n">
        <v>0.7441774333521436</v>
      </c>
      <c r="H3458" t="n">
        <v>0.008145985338355199</v>
      </c>
      <c r="I3458" t="n">
        <v>0.8931826342728753</v>
      </c>
      <c r="J3458" t="n">
        <v>0.017322912762627</v>
      </c>
      <c r="K3458" t="n">
        <v>0.5610003492745294</v>
      </c>
      <c r="L3458" t="b">
        <v>0</v>
      </c>
      <c r="M3458" t="b">
        <v>0</v>
      </c>
      <c r="N3458" t="inlineStr">
        <is>
          <t>ref</t>
        </is>
      </c>
      <c r="O3458" t="n">
        <v>100</v>
      </c>
      <c r="P3458" t="n">
        <v>0.02774</v>
      </c>
      <c r="Q3458" t="n">
        <v>15</v>
      </c>
      <c r="R3458" t="n">
        <v>0.03093</v>
      </c>
      <c r="S3458">
        <f>IMAGE("https://mitra.stanford.edu/kundaje/oak/projects/neuro-variants/variant_position/credible/roussos_2024/variant_figures/roussos_2024.infant.GLU/rs2349576_count_position.png",4,220,900)</f>
        <v/>
      </c>
      <c r="T3458">
        <f>IMAGE("https://mitra.stanford.edu/kundaje/oak/projects/neuro-variants/variant_position/credible/roussos_2024/variant_figures/roussos_2024.infant.GLU/rs2349576_profile_position.png",4,220,900)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-0.0051017438</v>
      </c>
      <c r="G3459" t="n">
        <v>0.2105605447983641</v>
      </c>
      <c r="H3459" t="n">
        <v>0.027473707352648</v>
      </c>
      <c r="I3459" t="n">
        <v>0.0762796800015068</v>
      </c>
      <c r="J3459" t="n">
        <v>0.1722447584823298</v>
      </c>
      <c r="K3459" t="n">
        <v>0.1269542144291973</v>
      </c>
      <c r="L3459" t="b">
        <v>0</v>
      </c>
      <c r="M3459" t="b">
        <v>0</v>
      </c>
      <c r="N3459" t="inlineStr">
        <is>
          <t>ref</t>
        </is>
      </c>
      <c r="O3459" t="n">
        <v>-95</v>
      </c>
      <c r="P3459" t="n">
        <v>0.05353</v>
      </c>
      <c r="Q3459" t="n">
        <v>-75</v>
      </c>
      <c r="R3459" t="n">
        <v>0.2944</v>
      </c>
      <c r="S3459">
        <f>IMAGE("https://mitra.stanford.edu/kundaje/oak/projects/neuro-variants/variant_position/credible/roussos_2024/variant_figures/roussos_2024.infant.GLU/rs2926288_count_position.png",4,220,900)</f>
        <v/>
      </c>
      <c r="T3459">
        <f>IMAGE("https://mitra.stanford.edu/kundaje/oak/projects/neuro-variants/variant_position/credible/roussos_2024/variant_figures/roussos_2024.infant.GLU/rs2926288_profile_position.png",4,220,900)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-0.01918516436</v>
      </c>
      <c r="G3460" t="n">
        <v>0.4705464503305152</v>
      </c>
      <c r="H3460" t="n">
        <v>0.0143041447638409</v>
      </c>
      <c r="I3460" t="n">
        <v>0.4008266909323161</v>
      </c>
      <c r="J3460" t="n">
        <v>0.0192718093432394</v>
      </c>
      <c r="K3460" t="n">
        <v>0.5424887300664339</v>
      </c>
      <c r="L3460" t="b">
        <v>0</v>
      </c>
      <c r="M3460" t="b">
        <v>0</v>
      </c>
      <c r="N3460" t="inlineStr">
        <is>
          <t>ref</t>
        </is>
      </c>
      <c r="O3460" t="n">
        <v>-100</v>
      </c>
      <c r="P3460" t="n">
        <v>0.0012665</v>
      </c>
      <c r="Q3460" t="n">
        <v>-100</v>
      </c>
      <c r="R3460" t="n">
        <v>0.09093999999999999</v>
      </c>
      <c r="S3460">
        <f>IMAGE("https://mitra.stanford.edu/kundaje/oak/projects/neuro-variants/variant_position/credible/roussos_2024/variant_figures/roussos_2024.infant.GLU/rs2964817_count_position.png",4,220,900)</f>
        <v/>
      </c>
      <c r="T3460">
        <f>IMAGE("https://mitra.stanford.edu/kundaje/oak/projects/neuro-variants/variant_position/credible/roussos_2024/variant_figures/roussos_2024.infant.GLU/rs2964817_profile_position.png",4,220,900)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0.0603792822</v>
      </c>
      <c r="G3461" t="n">
        <v>0.1301890047667542</v>
      </c>
      <c r="H3461" t="n">
        <v>0.0111875217639469</v>
      </c>
      <c r="I3461" t="n">
        <v>0.6081744218010202</v>
      </c>
      <c r="J3461" t="n">
        <v>0.1891410745386802</v>
      </c>
      <c r="K3461" t="n">
        <v>0.1172974621387254</v>
      </c>
      <c r="L3461" t="b">
        <v>0</v>
      </c>
      <c r="M3461" t="b">
        <v>0</v>
      </c>
      <c r="N3461" t="inlineStr">
        <is>
          <t>alt</t>
        </is>
      </c>
      <c r="O3461" t="n">
        <v>-95</v>
      </c>
      <c r="P3461" t="n">
        <v>0.01675</v>
      </c>
      <c r="Q3461" t="n">
        <v>60</v>
      </c>
      <c r="R3461" t="n">
        <v>0.0718</v>
      </c>
      <c r="S3461">
        <f>IMAGE("https://mitra.stanford.edu/kundaje/oak/projects/neuro-variants/variant_position/credible/roussos_2024/variant_figures/roussos_2024.infant.GLU/rs2199123_count_position.png",4,220,900)</f>
        <v/>
      </c>
      <c r="T3461">
        <f>IMAGE("https://mitra.stanford.edu/kundaje/oak/projects/neuro-variants/variant_position/credible/roussos_2024/variant_figures/roussos_2024.infant.GLU/rs2199123_profile_position.png",4,220,900)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-0.180043644</v>
      </c>
      <c r="G3462" t="n">
        <v>0.0142609223086233</v>
      </c>
      <c r="H3462" t="n">
        <v>0.0264913172659314</v>
      </c>
      <c r="I3462" t="n">
        <v>0.0892144466982468</v>
      </c>
      <c r="J3462" t="n">
        <v>0.2721642893361846</v>
      </c>
      <c r="K3462" t="n">
        <v>0.0757976284088885</v>
      </c>
      <c r="L3462" t="b">
        <v>1</v>
      </c>
      <c r="M3462" t="b">
        <v>0</v>
      </c>
      <c r="N3462" t="inlineStr">
        <is>
          <t>ref</t>
        </is>
      </c>
      <c r="O3462" t="n">
        <v>-100</v>
      </c>
      <c r="P3462" t="n">
        <v>0.04382</v>
      </c>
      <c r="Q3462" t="n">
        <v>65</v>
      </c>
      <c r="R3462" t="n">
        <v>0.06419999999999999</v>
      </c>
      <c r="S3462">
        <f>IMAGE("https://mitra.stanford.edu/kundaje/oak/projects/neuro-variants/variant_position/credible/roussos_2024/variant_figures/roussos_2024.infant.GLU/rs17504622_count_position.png",4,220,900)</f>
        <v/>
      </c>
      <c r="T3462">
        <f>IMAGE("https://mitra.stanford.edu/kundaje/oak/projects/neuro-variants/variant_position/credible/roussos_2024/variant_figures/roussos_2024.infant.GLU/rs17504622_profile_position.png",4,220,900)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0.01179550524</v>
      </c>
      <c r="G3463" t="n">
        <v>0.5874358417174284</v>
      </c>
      <c r="H3463" t="n">
        <v>0.0135590104743461</v>
      </c>
      <c r="I3463" t="n">
        <v>0.44670631240692</v>
      </c>
      <c r="J3463" t="n">
        <v>0.0320443572389161</v>
      </c>
      <c r="K3463" t="n">
        <v>0.4404996785791727</v>
      </c>
      <c r="L3463" t="b">
        <v>0</v>
      </c>
      <c r="M3463" t="b">
        <v>0</v>
      </c>
      <c r="N3463" t="inlineStr">
        <is>
          <t>alt</t>
        </is>
      </c>
      <c r="O3463" t="n">
        <v>40</v>
      </c>
      <c r="P3463" t="n">
        <v>0.006638</v>
      </c>
      <c r="Q3463" t="n">
        <v>-40</v>
      </c>
      <c r="R3463" t="n">
        <v>0.0586</v>
      </c>
      <c r="S3463">
        <f>IMAGE("https://mitra.stanford.edu/kundaje/oak/projects/neuro-variants/variant_position/credible/roussos_2024/variant_figures/roussos_2024.infant.GLU/rs308267_count_position.png",4,220,900)</f>
        <v/>
      </c>
      <c r="T3463">
        <f>IMAGE("https://mitra.stanford.edu/kundaje/oak/projects/neuro-variants/variant_position/credible/roussos_2024/variant_figures/roussos_2024.infant.GLU/rs308267_profile_position.png",4,220,900)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0.0392655426</v>
      </c>
      <c r="G3464" t="n">
        <v>0.2317386079845755</v>
      </c>
      <c r="H3464" t="n">
        <v>0.0110115705003636</v>
      </c>
      <c r="I3464" t="n">
        <v>0.6486686383743983</v>
      </c>
      <c r="J3464" t="n">
        <v>0.1848839260124781</v>
      </c>
      <c r="K3464" t="n">
        <v>0.1167943039368006</v>
      </c>
      <c r="L3464" t="b">
        <v>0</v>
      </c>
      <c r="M3464" t="b">
        <v>0</v>
      </c>
      <c r="N3464" t="inlineStr">
        <is>
          <t>alt</t>
        </is>
      </c>
      <c r="O3464" t="n">
        <v>-5</v>
      </c>
      <c r="P3464" t="n">
        <v>0.0004578</v>
      </c>
      <c r="Q3464" t="n">
        <v>-85</v>
      </c>
      <c r="R3464" t="n">
        <v>0.0856</v>
      </c>
      <c r="S3464">
        <f>IMAGE("https://mitra.stanford.edu/kundaje/oak/projects/neuro-variants/variant_position/credible/roussos_2024/variant_figures/roussos_2024.infant.GLU/rs2609671_count_position.png",4,220,900)</f>
        <v/>
      </c>
      <c r="T3464">
        <f>IMAGE("https://mitra.stanford.edu/kundaje/oak/projects/neuro-variants/variant_position/credible/roussos_2024/variant_figures/roussos_2024.infant.GLU/rs2609671_profile_position.png",4,220,900)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0.0342668414</v>
      </c>
      <c r="G3465" t="n">
        <v>0.2673137750162596</v>
      </c>
      <c r="H3465" t="n">
        <v>0.009963694989837501</v>
      </c>
      <c r="I3465" t="n">
        <v>0.745690384493217</v>
      </c>
      <c r="J3465" t="n">
        <v>0.1479320531757754</v>
      </c>
      <c r="K3465" t="n">
        <v>0.1456209426024514</v>
      </c>
      <c r="L3465" t="b">
        <v>0</v>
      </c>
      <c r="M3465" t="b">
        <v>0</v>
      </c>
      <c r="N3465" t="inlineStr">
        <is>
          <t>alt</t>
        </is>
      </c>
      <c r="O3465" t="n">
        <v>-95</v>
      </c>
      <c r="P3465" t="n">
        <v>0.001373</v>
      </c>
      <c r="Q3465" t="n">
        <v>100</v>
      </c>
      <c r="R3465" t="n">
        <v>0.09564</v>
      </c>
      <c r="S3465">
        <f>IMAGE("https://mitra.stanford.edu/kundaje/oak/projects/neuro-variants/variant_position/credible/roussos_2024/variant_figures/roussos_2024.infant.GLU/rs300325_count_position.png",4,220,900)</f>
        <v/>
      </c>
      <c r="T3465">
        <f>IMAGE("https://mitra.stanford.edu/kundaje/oak/projects/neuro-variants/variant_position/credible/roussos_2024/variant_figures/roussos_2024.infant.GLU/rs300325_profile_position.png",4,220,900)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-0.02283768464</v>
      </c>
      <c r="G3466" t="n">
        <v>0.323787987885243</v>
      </c>
      <c r="H3466" t="n">
        <v>0.0122854949767096</v>
      </c>
      <c r="I3466" t="n">
        <v>0.5381803892854264</v>
      </c>
      <c r="J3466" t="n">
        <v>0.0101269869265195</v>
      </c>
      <c r="K3466" t="n">
        <v>0.6894746486079448</v>
      </c>
      <c r="L3466" t="b">
        <v>0</v>
      </c>
      <c r="M3466" t="b">
        <v>0</v>
      </c>
      <c r="N3466" t="inlineStr">
        <is>
          <t>ref</t>
        </is>
      </c>
      <c r="O3466" t="n">
        <v>60</v>
      </c>
      <c r="P3466" t="n">
        <v>0.003006</v>
      </c>
      <c r="Q3466" t="n">
        <v>-85</v>
      </c>
      <c r="R3466" t="n">
        <v>0.06525</v>
      </c>
      <c r="S3466">
        <f>IMAGE("https://mitra.stanford.edu/kundaje/oak/projects/neuro-variants/variant_position/credible/roussos_2024/variant_figures/roussos_2024.infant.GLU/rs2617267_count_position.png",4,220,900)</f>
        <v/>
      </c>
      <c r="T3466">
        <f>IMAGE("https://mitra.stanford.edu/kundaje/oak/projects/neuro-variants/variant_position/credible/roussos_2024/variant_figures/roussos_2024.infant.GLU/rs2617267_profile_position.png",4,220,900)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0.06341349739999989</v>
      </c>
      <c r="G3467" t="n">
        <v>0.1156263141448428</v>
      </c>
      <c r="H3467" t="n">
        <v>0.0153742800262663</v>
      </c>
      <c r="I3467" t="n">
        <v>0.347788011759258</v>
      </c>
      <c r="J3467" t="n">
        <v>0.0195881743424678</v>
      </c>
      <c r="K3467" t="n">
        <v>0.5477582321799237</v>
      </c>
      <c r="L3467" t="b">
        <v>0</v>
      </c>
      <c r="M3467" t="b">
        <v>0</v>
      </c>
      <c r="N3467" t="inlineStr">
        <is>
          <t>alt</t>
        </is>
      </c>
      <c r="O3467" t="n">
        <v>-15</v>
      </c>
      <c r="P3467" t="n">
        <v>0.004513</v>
      </c>
      <c r="Q3467" t="n">
        <v>100</v>
      </c>
      <c r="R3467" t="n">
        <v>0.1296</v>
      </c>
      <c r="S3467">
        <f>IMAGE("https://mitra.stanford.edu/kundaje/oak/projects/neuro-variants/variant_position/credible/roussos_2024/variant_figures/roussos_2024.infant.GLU/rs2964819_count_position.png",4,220,900)</f>
        <v/>
      </c>
      <c r="T3467">
        <f>IMAGE("https://mitra.stanford.edu/kundaje/oak/projects/neuro-variants/variant_position/credible/roussos_2024/variant_figures/roussos_2024.infant.GLU/rs2964819_profile_position.png",4,220,900)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0.02463703374</v>
      </c>
      <c r="G3468" t="n">
        <v>0.3452705961829408</v>
      </c>
      <c r="H3468" t="n">
        <v>0.0218758556671469</v>
      </c>
      <c r="I3468" t="n">
        <v>0.1496397211195884</v>
      </c>
      <c r="J3468" t="n">
        <v>0.0319969576048854</v>
      </c>
      <c r="K3468" t="n">
        <v>0.4403094361640483</v>
      </c>
      <c r="L3468" t="b">
        <v>0</v>
      </c>
      <c r="M3468" t="b">
        <v>0</v>
      </c>
      <c r="N3468" t="inlineStr">
        <is>
          <t>alt</t>
        </is>
      </c>
      <c r="O3468" t="n">
        <v>-100</v>
      </c>
      <c r="P3468" t="n">
        <v>0.010254</v>
      </c>
      <c r="Q3468" t="n">
        <v>-40</v>
      </c>
      <c r="R3468" t="n">
        <v>0.0862</v>
      </c>
      <c r="S3468">
        <f>IMAGE("https://mitra.stanford.edu/kundaje/oak/projects/neuro-variants/variant_position/credible/roussos_2024/variant_figures/roussos_2024.infant.GLU/rs2560245_count_position.png",4,220,900)</f>
        <v/>
      </c>
      <c r="T3468">
        <f>IMAGE("https://mitra.stanford.edu/kundaje/oak/projects/neuro-variants/variant_position/credible/roussos_2024/variant_figures/roussos_2024.infant.GLU/rs2560245_profile_position.png",4,220,900)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0.0947936048</v>
      </c>
      <c r="G3469" t="n">
        <v>0.0546448540911578</v>
      </c>
      <c r="H3469" t="n">
        <v>0.0169642478283558</v>
      </c>
      <c r="I3469" t="n">
        <v>0.2738763665758709</v>
      </c>
      <c r="J3469" t="n">
        <v>0.1389040763685266</v>
      </c>
      <c r="K3469" t="n">
        <v>0.1607913760587903</v>
      </c>
      <c r="L3469" t="b">
        <v>0</v>
      </c>
      <c r="M3469" t="b">
        <v>0</v>
      </c>
      <c r="N3469" t="inlineStr">
        <is>
          <t>alt</t>
        </is>
      </c>
      <c r="O3469" t="n">
        <v>-65</v>
      </c>
      <c r="P3469" t="n">
        <v>0.00716</v>
      </c>
      <c r="Q3469" t="n">
        <v>-25</v>
      </c>
      <c r="R3469" t="n">
        <v>0.05273</v>
      </c>
      <c r="S3469">
        <f>IMAGE("https://mitra.stanford.edu/kundaje/oak/projects/neuro-variants/variant_position/credible/roussos_2024/variant_figures/roussos_2024.infant.GLU/rs2446429_count_position.png",4,220,900)</f>
        <v/>
      </c>
      <c r="T3469">
        <f>IMAGE("https://mitra.stanford.edu/kundaje/oak/projects/neuro-variants/variant_position/credible/roussos_2024/variant_figures/roussos_2024.infant.GLU/rs2446429_profile_position.png",4,220,900)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-0.0313655722</v>
      </c>
      <c r="G3470" t="n">
        <v>0.3015319020048731</v>
      </c>
      <c r="H3470" t="n">
        <v>0.0123019042542858</v>
      </c>
      <c r="I3470" t="n">
        <v>0.5359334072271211</v>
      </c>
      <c r="J3470" t="n">
        <v>0.1155625124010669</v>
      </c>
      <c r="K3470" t="n">
        <v>0.189353415293089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0.015076</v>
      </c>
      <c r="Q3470" t="n">
        <v>35</v>
      </c>
      <c r="R3470" t="n">
        <v>0.015015</v>
      </c>
      <c r="S3470">
        <f>IMAGE("https://mitra.stanford.edu/kundaje/oak/projects/neuro-variants/variant_position/credible/roussos_2024/variant_figures/roussos_2024.infant.GLU/rs2560247_count_position.png",4,220,900)</f>
        <v/>
      </c>
      <c r="T3470">
        <f>IMAGE("https://mitra.stanford.edu/kundaje/oak/projects/neuro-variants/variant_position/credible/roussos_2024/variant_figures/roussos_2024.infant.GLU/rs2560247_profile_position.png",4,220,900)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-0.46689576</v>
      </c>
      <c r="G3471" t="n">
        <v>0.0006354076622502</v>
      </c>
      <c r="H3471" t="n">
        <v>0.0744666083575401</v>
      </c>
      <c r="I3471" t="n">
        <v>0.0011672244547727</v>
      </c>
      <c r="J3471" t="n">
        <v>0.0779205890782424</v>
      </c>
      <c r="K3471" t="n">
        <v>0.2600071555717252</v>
      </c>
      <c r="L3471" t="b">
        <v>1</v>
      </c>
      <c r="M3471" t="b">
        <v>1</v>
      </c>
      <c r="N3471" t="inlineStr">
        <is>
          <t>ref</t>
        </is>
      </c>
      <c r="O3471" t="n">
        <v>-50</v>
      </c>
      <c r="P3471" t="n">
        <v>0.011856</v>
      </c>
      <c r="Q3471" t="n">
        <v>-90</v>
      </c>
      <c r="R3471" t="n">
        <v>0.2375</v>
      </c>
      <c r="S3471">
        <f>IMAGE("https://mitra.stanford.edu/kundaje/oak/projects/neuro-variants/variant_position/credible/roussos_2024/variant_figures/roussos_2024.infant.GLU/rs170027_count_position.png",4,220,900)</f>
        <v/>
      </c>
      <c r="T3471">
        <f>IMAGE("https://mitra.stanford.edu/kundaje/oak/projects/neuro-variants/variant_position/credible/roussos_2024/variant_figures/roussos_2024.infant.GLU/rs170027_profile_position.png",4,220,900)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-0.411141918</v>
      </c>
      <c r="G3472" t="n">
        <v>0.000952675838313</v>
      </c>
      <c r="H3472" t="n">
        <v>0.1361979151769842</v>
      </c>
      <c r="I3472" t="n">
        <v>2.863357698504088e-05</v>
      </c>
      <c r="J3472" t="n">
        <v>0.009257258757909099</v>
      </c>
      <c r="K3472" t="n">
        <v>0.6748279472618057</v>
      </c>
      <c r="L3472" t="b">
        <v>1</v>
      </c>
      <c r="M3472" t="b">
        <v>1</v>
      </c>
      <c r="N3472" t="inlineStr">
        <is>
          <t>ref</t>
        </is>
      </c>
      <c r="O3472" t="n">
        <v>-100</v>
      </c>
      <c r="P3472" t="n">
        <v>0.03442</v>
      </c>
      <c r="Q3472" t="n">
        <v>100</v>
      </c>
      <c r="R3472" t="n">
        <v>0.10034</v>
      </c>
      <c r="S3472">
        <f>IMAGE("https://mitra.stanford.edu/kundaje/oak/projects/neuro-variants/variant_position/credible/roussos_2024/variant_figures/roussos_2024.infant.GLU/rs304859_count_position.png",4,220,900)</f>
        <v/>
      </c>
      <c r="T3472">
        <f>IMAGE("https://mitra.stanford.edu/kundaje/oak/projects/neuro-variants/variant_position/credible/roussos_2024/variant_figures/roussos_2024.infant.GLU/rs304859_profile_position.png",4,220,900)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-0.0223600944</v>
      </c>
      <c r="G3473" t="n">
        <v>0.375537517892157</v>
      </c>
      <c r="H3473" t="n">
        <v>0.01320377050079</v>
      </c>
      <c r="I3473" t="n">
        <v>0.4705260259041464</v>
      </c>
      <c r="J3473" t="n">
        <v>0.1383308714918759</v>
      </c>
      <c r="K3473" t="n">
        <v>0.1560356008220438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0.01932</v>
      </c>
      <c r="Q3473" t="n">
        <v>50</v>
      </c>
      <c r="R3473" t="n">
        <v>0.05273</v>
      </c>
      <c r="S3473">
        <f>IMAGE("https://mitra.stanford.edu/kundaje/oak/projects/neuro-variants/variant_position/credible/roussos_2024/variant_figures/roussos_2024.infant.GLU/rs35407853_count_position.png",4,220,900)</f>
        <v/>
      </c>
      <c r="T3473">
        <f>IMAGE("https://mitra.stanford.edu/kundaje/oak/projects/neuro-variants/variant_position/credible/roussos_2024/variant_figures/roussos_2024.infant.GLU/rs35407853_profile_position.png",4,220,900)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0.0781973072</v>
      </c>
      <c r="G3474" t="n">
        <v>0.07840175294132561</v>
      </c>
      <c r="H3474" t="n">
        <v>0.0120546702260942</v>
      </c>
      <c r="I3474" t="n">
        <v>0.5569890970637584</v>
      </c>
      <c r="J3474" t="n">
        <v>0.1584371348574703</v>
      </c>
      <c r="K3474" t="n">
        <v>0.1375010084694731</v>
      </c>
      <c r="L3474" t="b">
        <v>0</v>
      </c>
      <c r="M3474" t="b">
        <v>0</v>
      </c>
      <c r="N3474" t="inlineStr">
        <is>
          <t>alt</t>
        </is>
      </c>
      <c r="O3474" t="n">
        <v>-100</v>
      </c>
      <c r="P3474" t="n">
        <v>0.02458</v>
      </c>
      <c r="Q3474" t="n">
        <v>-15</v>
      </c>
      <c r="R3474" t="n">
        <v>0.02686</v>
      </c>
      <c r="S3474">
        <f>IMAGE("https://mitra.stanford.edu/kundaje/oak/projects/neuro-variants/variant_position/credible/roussos_2024/variant_figures/roussos_2024.infant.GLU/rs304863_count_position.png",4,220,900)</f>
        <v/>
      </c>
      <c r="T3474">
        <f>IMAGE("https://mitra.stanford.edu/kundaje/oak/projects/neuro-variants/variant_position/credible/roussos_2024/variant_figures/roussos_2024.infant.GLU/rs304863_profile_position.png",4,220,900)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-0.0026076940799999</v>
      </c>
      <c r="G3475" t="n">
        <v>0.6694548685626088</v>
      </c>
      <c r="H3475" t="n">
        <v>0.0173134918010554</v>
      </c>
      <c r="I3475" t="n">
        <v>0.2603350298593334</v>
      </c>
      <c r="J3475" t="n">
        <v>0.0409378513635661</v>
      </c>
      <c r="K3475" t="n">
        <v>0.3862780862639611</v>
      </c>
      <c r="L3475" t="b">
        <v>0</v>
      </c>
      <c r="M3475" t="b">
        <v>0</v>
      </c>
      <c r="N3475" t="inlineStr">
        <is>
          <t>ref</t>
        </is>
      </c>
      <c r="O3475" t="n">
        <v>-35</v>
      </c>
      <c r="P3475" t="n">
        <v>0.09735000000000001</v>
      </c>
      <c r="Q3475" t="n">
        <v>-50</v>
      </c>
      <c r="R3475" t="n">
        <v>0.1831</v>
      </c>
      <c r="S3475">
        <f>IMAGE("https://mitra.stanford.edu/kundaje/oak/projects/neuro-variants/variant_position/credible/roussos_2024/variant_figures/roussos_2024.infant.GLU/rs304864_count_position.png",4,220,900)</f>
        <v/>
      </c>
      <c r="T3475">
        <f>IMAGE("https://mitra.stanford.edu/kundaje/oak/projects/neuro-variants/variant_position/credible/roussos_2024/variant_figures/roussos_2024.infant.GLU/rs304864_profile_position.png",4,220,900)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0.1026157</v>
      </c>
      <c r="G3476" t="n">
        <v>0.0491879021872283</v>
      </c>
      <c r="H3476" t="n">
        <v>0.0252596349064855</v>
      </c>
      <c r="I3476" t="n">
        <v>0.100538187644135</v>
      </c>
      <c r="J3476" t="n">
        <v>0.0420743402632332</v>
      </c>
      <c r="K3476" t="n">
        <v>0.3792462124844778</v>
      </c>
      <c r="L3476" t="b">
        <v>0</v>
      </c>
      <c r="M3476" t="b">
        <v>0</v>
      </c>
      <c r="N3476" t="inlineStr">
        <is>
          <t>alt</t>
        </is>
      </c>
      <c r="O3476" t="n">
        <v>45</v>
      </c>
      <c r="P3476" t="n">
        <v>0.001892</v>
      </c>
      <c r="Q3476" t="n">
        <v>-25</v>
      </c>
      <c r="R3476" t="n">
        <v>0.01874</v>
      </c>
      <c r="S3476">
        <f>IMAGE("https://mitra.stanford.edu/kundaje/oak/projects/neuro-variants/variant_position/credible/roussos_2024/variant_figures/roussos_2024.infant.GLU/rs159759_count_position.png",4,220,900)</f>
        <v/>
      </c>
      <c r="T3476">
        <f>IMAGE("https://mitra.stanford.edu/kundaje/oak/projects/neuro-variants/variant_position/credible/roussos_2024/variant_figures/roussos_2024.infant.GLU/rs159759_profile_position.png",4,220,900)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0.0608605358</v>
      </c>
      <c r="G3477" t="n">
        <v>0.1345847172651095</v>
      </c>
      <c r="H3477" t="n">
        <v>0.0133257257173003</v>
      </c>
      <c r="I3477" t="n">
        <v>0.4629470814062604</v>
      </c>
      <c r="J3477" t="n">
        <v>0.0526929606031878</v>
      </c>
      <c r="K3477" t="n">
        <v>0.3370097163079936</v>
      </c>
      <c r="L3477" t="b">
        <v>0</v>
      </c>
      <c r="M3477" t="b">
        <v>0</v>
      </c>
      <c r="N3477" t="inlineStr">
        <is>
          <t>alt</t>
        </is>
      </c>
      <c r="O3477" t="n">
        <v>90</v>
      </c>
      <c r="P3477" t="n">
        <v>0.02655</v>
      </c>
      <c r="Q3477" t="n">
        <v>-5</v>
      </c>
      <c r="R3477" t="n">
        <v>0.01172</v>
      </c>
      <c r="S3477">
        <f>IMAGE("https://mitra.stanford.edu/kundaje/oak/projects/neuro-variants/variant_position/credible/roussos_2024/variant_figures/roussos_2024.infant.GLU/rs160066_count_position.png",4,220,900)</f>
        <v/>
      </c>
      <c r="T3477">
        <f>IMAGE("https://mitra.stanford.edu/kundaje/oak/projects/neuro-variants/variant_position/credible/roussos_2024/variant_figures/roussos_2024.infant.GLU/rs160066_profile_position.png",4,220,900)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0.281614978</v>
      </c>
      <c r="G3478" t="n">
        <v>0.0038987281924113</v>
      </c>
      <c r="H3478" t="n">
        <v>0.0484391228471332</v>
      </c>
      <c r="I3478" t="n">
        <v>0.008964362176024599</v>
      </c>
      <c r="J3478" t="n">
        <v>0.1060307766926078</v>
      </c>
      <c r="K3478" t="n">
        <v>0.2013528974153526</v>
      </c>
      <c r="L3478" t="b">
        <v>1</v>
      </c>
      <c r="M3478" t="b">
        <v>1</v>
      </c>
      <c r="N3478" t="inlineStr">
        <is>
          <t>alt</t>
        </is>
      </c>
      <c r="O3478" t="n">
        <v>75</v>
      </c>
      <c r="P3478" t="n">
        <v>0.01672</v>
      </c>
      <c r="Q3478" t="n">
        <v>-45</v>
      </c>
      <c r="R3478" t="n">
        <v>0.04785</v>
      </c>
      <c r="S3478">
        <f>IMAGE("https://mitra.stanford.edu/kundaje/oak/projects/neuro-variants/variant_position/credible/roussos_2024/variant_figures/roussos_2024.infant.GLU/rs150618_count_position.png",4,220,900)</f>
        <v/>
      </c>
      <c r="T3478">
        <f>IMAGE("https://mitra.stanford.edu/kundaje/oak/projects/neuro-variants/variant_position/credible/roussos_2024/variant_figures/roussos_2024.infant.GLU/rs150618_profile_position.png",4,220,900)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-0.1211670979999999</v>
      </c>
      <c r="G3479" t="n">
        <v>0.0353134230469925</v>
      </c>
      <c r="H3479" t="n">
        <v>0.0215621709887655</v>
      </c>
      <c r="I3479" t="n">
        <v>0.153108184472051</v>
      </c>
      <c r="J3479" t="n">
        <v>0.054627527061884</v>
      </c>
      <c r="K3479" t="n">
        <v>0.3297715775572648</v>
      </c>
      <c r="L3479" t="b">
        <v>0</v>
      </c>
      <c r="M3479" t="b">
        <v>0</v>
      </c>
      <c r="N3479" t="inlineStr">
        <is>
          <t>ref</t>
        </is>
      </c>
      <c r="O3479" t="n">
        <v>20</v>
      </c>
      <c r="P3479" t="n">
        <v>0.001648</v>
      </c>
      <c r="Q3479" t="n">
        <v>-95</v>
      </c>
      <c r="R3479" t="n">
        <v>0.10913</v>
      </c>
      <c r="S3479">
        <f>IMAGE("https://mitra.stanford.edu/kundaje/oak/projects/neuro-variants/variant_position/credible/roussos_2024/variant_figures/roussos_2024.infant.GLU/rs149095_count_position.png",4,220,900)</f>
        <v/>
      </c>
      <c r="T3479">
        <f>IMAGE("https://mitra.stanford.edu/kundaje/oak/projects/neuro-variants/variant_position/credible/roussos_2024/variant_figures/roussos_2024.infant.GLU/rs149095_profile_position.png",4,220,900)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0.064592071</v>
      </c>
      <c r="G3480" t="n">
        <v>0.1094005632773649</v>
      </c>
      <c r="H3480" t="n">
        <v>0.0264098452901854</v>
      </c>
      <c r="I3480" t="n">
        <v>0.0858993283845285</v>
      </c>
      <c r="J3480" t="n">
        <v>0.2293172248065433</v>
      </c>
      <c r="K3480" t="n">
        <v>0.09892927885628371</v>
      </c>
      <c r="L3480" t="b">
        <v>0</v>
      </c>
      <c r="M3480" t="b">
        <v>0</v>
      </c>
      <c r="N3480" t="inlineStr">
        <is>
          <t>alt</t>
        </is>
      </c>
      <c r="O3480" t="n">
        <v>-80</v>
      </c>
      <c r="P3480" t="n">
        <v>0.00544</v>
      </c>
      <c r="Q3480" t="n">
        <v>-100</v>
      </c>
      <c r="R3480" t="n">
        <v>0.05957</v>
      </c>
      <c r="S3480">
        <f>IMAGE("https://mitra.stanford.edu/kundaje/oak/projects/neuro-variants/variant_position/credible/roussos_2024/variant_figures/roussos_2024.infant.GLU/rs159972_count_position.png",4,220,900)</f>
        <v/>
      </c>
      <c r="T3480">
        <f>IMAGE("https://mitra.stanford.edu/kundaje/oak/projects/neuro-variants/variant_position/credible/roussos_2024/variant_figures/roussos_2024.infant.GLU/rs159972_profile_position.png",4,220,900)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0.009431887979999999</v>
      </c>
      <c r="G3481" t="n">
        <v>0.6199293599034364</v>
      </c>
      <c r="H3481" t="n">
        <v>0.0119006304455273</v>
      </c>
      <c r="I3481" t="n">
        <v>0.564223845160807</v>
      </c>
      <c r="J3481" t="n">
        <v>0.0636455830154985</v>
      </c>
      <c r="K3481" t="n">
        <v>0.3004224198332074</v>
      </c>
      <c r="L3481" t="b">
        <v>0</v>
      </c>
      <c r="M3481" t="b">
        <v>0</v>
      </c>
      <c r="N3481" t="inlineStr">
        <is>
          <t>alt</t>
        </is>
      </c>
      <c r="O3481" t="n">
        <v>-100</v>
      </c>
      <c r="P3481" t="n">
        <v>0.01746</v>
      </c>
      <c r="Q3481" t="n">
        <v>-60</v>
      </c>
      <c r="R3481" t="n">
        <v>0.1626</v>
      </c>
      <c r="S3481">
        <f>IMAGE("https://mitra.stanford.edu/kundaje/oak/projects/neuro-variants/variant_position/credible/roussos_2024/variant_figures/roussos_2024.infant.GLU/rs159973_count_position.png",4,220,900)</f>
        <v/>
      </c>
      <c r="T3481">
        <f>IMAGE("https://mitra.stanford.edu/kundaje/oak/projects/neuro-variants/variant_position/credible/roussos_2024/variant_figures/roussos_2024.infant.GLU/rs159973_profile_position.png",4,220,900)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0.031613426</v>
      </c>
      <c r="G3482" t="n">
        <v>0.2083141692952014</v>
      </c>
      <c r="H3482" t="n">
        <v>0.0173120356584708</v>
      </c>
      <c r="I3482" t="n">
        <v>0.2607629759459834</v>
      </c>
      <c r="J3482" t="n">
        <v>0.08204435723891609</v>
      </c>
      <c r="K3482" t="n">
        <v>0.251331656144956</v>
      </c>
      <c r="L3482" t="b">
        <v>0</v>
      </c>
      <c r="M3482" t="b">
        <v>0</v>
      </c>
      <c r="N3482" t="inlineStr">
        <is>
          <t>alt</t>
        </is>
      </c>
      <c r="O3482" t="n">
        <v>-80</v>
      </c>
      <c r="P3482" t="n">
        <v>0.00464</v>
      </c>
      <c r="Q3482" t="n">
        <v>-35</v>
      </c>
      <c r="R3482" t="n">
        <v>0.1084</v>
      </c>
      <c r="S3482">
        <f>IMAGE("https://mitra.stanford.edu/kundaje/oak/projects/neuro-variants/variant_position/credible/roussos_2024/variant_figures/roussos_2024.infant.GLU/rs304883_count_position.png",4,220,900)</f>
        <v/>
      </c>
      <c r="T3482">
        <f>IMAGE("https://mitra.stanford.edu/kundaje/oak/projects/neuro-variants/variant_position/credible/roussos_2024/variant_figures/roussos_2024.infant.GLU/rs304883_profile_position.png",4,220,900)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-0.0190982215479999</v>
      </c>
      <c r="G3483" t="n">
        <v>0.3618944785278619</v>
      </c>
      <c r="H3483" t="n">
        <v>0.0103125540024913</v>
      </c>
      <c r="I3483" t="n">
        <v>0.6934665648120713</v>
      </c>
      <c r="J3483" t="n">
        <v>0.0367060561299852</v>
      </c>
      <c r="K3483" t="n">
        <v>0.4081512223636605</v>
      </c>
      <c r="L3483" t="b">
        <v>0</v>
      </c>
      <c r="M3483" t="b">
        <v>0</v>
      </c>
      <c r="N3483" t="inlineStr">
        <is>
          <t>ref</t>
        </is>
      </c>
      <c r="O3483" t="n">
        <v>-25</v>
      </c>
      <c r="P3483" t="n">
        <v>0.03955</v>
      </c>
      <c r="Q3483" t="n">
        <v>80</v>
      </c>
      <c r="R3483" t="n">
        <v>0.0371</v>
      </c>
      <c r="S3483">
        <f>IMAGE("https://mitra.stanford.edu/kundaje/oak/projects/neuro-variants/variant_position/credible/roussos_2024/variant_figures/roussos_2024.infant.GLU/rs304884_count_position.png",4,220,900)</f>
        <v/>
      </c>
      <c r="T3483">
        <f>IMAGE("https://mitra.stanford.edu/kundaje/oak/projects/neuro-variants/variant_position/credible/roussos_2024/variant_figures/roussos_2024.infant.GLU/rs304884_profile_position.png",4,220,900)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0.0386954666</v>
      </c>
      <c r="G3484" t="n">
        <v>0.2328652304123903</v>
      </c>
      <c r="H3484" t="n">
        <v>0.0099061794926362</v>
      </c>
      <c r="I3484" t="n">
        <v>0.7381835343692125</v>
      </c>
      <c r="J3484" t="n">
        <v>0.0350316364999227</v>
      </c>
      <c r="K3484" t="n">
        <v>0.4311095714758348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0.002136</v>
      </c>
      <c r="Q3484" t="n">
        <v>-100</v>
      </c>
      <c r="R3484" t="n">
        <v>0.06850000000000001</v>
      </c>
      <c r="S3484">
        <f>IMAGE("https://mitra.stanford.edu/kundaje/oak/projects/neuro-variants/variant_position/credible/roussos_2024/variant_figures/roussos_2024.infant.GLU/rs304853_count_position.png",4,220,900)</f>
        <v/>
      </c>
      <c r="T3484">
        <f>IMAGE("https://mitra.stanford.edu/kundaje/oak/projects/neuro-variants/variant_position/credible/roussos_2024/variant_figures/roussos_2024.infant.GLU/rs304853_profile_position.png",4,220,900)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-0.170186984</v>
      </c>
      <c r="G3485" t="n">
        <v>0.0163462719181803</v>
      </c>
      <c r="H3485" t="n">
        <v>0.0204596802817814</v>
      </c>
      <c r="I3485" t="n">
        <v>0.1797624009698002</v>
      </c>
      <c r="J3485" t="n">
        <v>0.0423885006283206</v>
      </c>
      <c r="K3485" t="n">
        <v>0.3810799022843919</v>
      </c>
      <c r="L3485" t="b">
        <v>1</v>
      </c>
      <c r="M3485" t="b">
        <v>0</v>
      </c>
      <c r="N3485" t="inlineStr">
        <is>
          <t>ref</t>
        </is>
      </c>
      <c r="O3485" t="n">
        <v>50</v>
      </c>
      <c r="P3485" t="n">
        <v>0.00627</v>
      </c>
      <c r="Q3485" t="n">
        <v>100</v>
      </c>
      <c r="R3485" t="n">
        <v>0.1084</v>
      </c>
      <c r="S3485">
        <f>IMAGE("https://mitra.stanford.edu/kundaje/oak/projects/neuro-variants/variant_position/credible/roussos_2024/variant_figures/roussos_2024.infant.GLU/rs304855_count_position.png",4,220,900)</f>
        <v/>
      </c>
      <c r="T3485">
        <f>IMAGE("https://mitra.stanford.edu/kundaje/oak/projects/neuro-variants/variant_position/credible/roussos_2024/variant_figures/roussos_2024.infant.GLU/rs304855_profile_position.png",4,220,900)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-0.0309428872</v>
      </c>
      <c r="G3486" t="n">
        <v>0.2352737425281383</v>
      </c>
      <c r="H3486" t="n">
        <v>0.0166103748922634</v>
      </c>
      <c r="I3486" t="n">
        <v>0.2895502559556318</v>
      </c>
      <c r="J3486" t="n">
        <v>0.2927665953834961</v>
      </c>
      <c r="K3486" t="n">
        <v>0.07068985010837719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0.04922</v>
      </c>
      <c r="Q3486" t="n">
        <v>95</v>
      </c>
      <c r="R3486" t="n">
        <v>0.255</v>
      </c>
      <c r="S3486">
        <f>IMAGE("https://mitra.stanford.edu/kundaje/oak/projects/neuro-variants/variant_position/credible/roussos_2024/variant_figures/roussos_2024.infant.GLU/rs160161_count_position.png",4,220,900)</f>
        <v/>
      </c>
      <c r="T3486">
        <f>IMAGE("https://mitra.stanford.edu/kundaje/oak/projects/neuro-variants/variant_position/credible/roussos_2024/variant_figures/roussos_2024.infant.GLU/rs160161_profile_position.png",4,220,900)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-0.0252361514</v>
      </c>
      <c r="G3487" t="n">
        <v>0.3763844533290141</v>
      </c>
      <c r="H3487" t="n">
        <v>0.0535291445898266</v>
      </c>
      <c r="I3487" t="n">
        <v>0.0054941071916278</v>
      </c>
      <c r="J3487" t="n">
        <v>0.06814083202892469</v>
      </c>
      <c r="K3487" t="n">
        <v>0.2937447046575269</v>
      </c>
      <c r="L3487" t="b">
        <v>1</v>
      </c>
      <c r="M3487" t="b">
        <v>1</v>
      </c>
      <c r="N3487" t="inlineStr">
        <is>
          <t>ref</t>
        </is>
      </c>
      <c r="O3487" t="n">
        <v>-100</v>
      </c>
      <c r="P3487" t="n">
        <v>0.00659</v>
      </c>
      <c r="Q3487" t="n">
        <v>-50</v>
      </c>
      <c r="R3487" t="n">
        <v>0.1641</v>
      </c>
      <c r="S3487">
        <f>IMAGE("https://mitra.stanford.edu/kundaje/oak/projects/neuro-variants/variant_position/credible/roussos_2024/variant_figures/roussos_2024.infant.GLU/rs13172447_count_position.png",4,220,900)</f>
        <v/>
      </c>
      <c r="T3487">
        <f>IMAGE("https://mitra.stanford.edu/kundaje/oak/projects/neuro-variants/variant_position/credible/roussos_2024/variant_figures/roussos_2024.infant.GLU/rs13172447_profile_position.png",4,220,900)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0.0066338638</v>
      </c>
      <c r="G3488" t="n">
        <v>0.6302384368787094</v>
      </c>
      <c r="H3488" t="n">
        <v>0.0124941869690585</v>
      </c>
      <c r="I3488" t="n">
        <v>0.5224446939446732</v>
      </c>
      <c r="J3488" t="n">
        <v>0.009213166075089801</v>
      </c>
      <c r="K3488" t="n">
        <v>0.6764309154936596</v>
      </c>
      <c r="L3488" t="b">
        <v>0</v>
      </c>
      <c r="M3488" t="b">
        <v>0</v>
      </c>
      <c r="N3488" t="inlineStr">
        <is>
          <t>alt</t>
        </is>
      </c>
      <c r="O3488" t="n">
        <v>55</v>
      </c>
      <c r="P3488" t="n">
        <v>0.004337</v>
      </c>
      <c r="Q3488" t="n">
        <v>100</v>
      </c>
      <c r="R3488" t="n">
        <v>0.09533999999999999</v>
      </c>
      <c r="S3488">
        <f>IMAGE("https://mitra.stanford.edu/kundaje/oak/projects/neuro-variants/variant_position/credible/roussos_2024/variant_figures/roussos_2024.infant.GLU/rs4246043_count_position.png",4,220,900)</f>
        <v/>
      </c>
      <c r="T3488">
        <f>IMAGE("https://mitra.stanford.edu/kundaje/oak/projects/neuro-variants/variant_position/credible/roussos_2024/variant_figures/roussos_2024.infant.GLU/rs4246043_profile_position.png",4,220,900)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2.8087173e-05</v>
      </c>
      <c r="G3489" t="n">
        <v>0.9067729290024344</v>
      </c>
      <c r="H3489" t="n">
        <v>0.0310626854971304</v>
      </c>
      <c r="I3489" t="n">
        <v>0.0514235147980619</v>
      </c>
      <c r="J3489" t="n">
        <v>0.07951564187923001</v>
      </c>
      <c r="K3489" t="n">
        <v>0.249406201680533</v>
      </c>
      <c r="L3489" t="b">
        <v>0</v>
      </c>
      <c r="M3489" t="b">
        <v>0</v>
      </c>
      <c r="N3489" t="inlineStr">
        <is>
          <t>alt</t>
        </is>
      </c>
      <c r="O3489" t="n">
        <v>100</v>
      </c>
      <c r="P3489" t="n">
        <v>0.06805</v>
      </c>
      <c r="Q3489" t="n">
        <v>95</v>
      </c>
      <c r="R3489" t="n">
        <v>0.1646</v>
      </c>
      <c r="S3489">
        <f>IMAGE("https://mitra.stanford.edu/kundaje/oak/projects/neuro-variants/variant_position/credible/roussos_2024/variant_figures/roussos_2024.infant.GLU/rs3811983_count_position.png",4,220,900)</f>
        <v/>
      </c>
      <c r="T3489">
        <f>IMAGE("https://mitra.stanford.edu/kundaje/oak/projects/neuro-variants/variant_position/credible/roussos_2024/variant_figures/roussos_2024.infant.GLU/rs3811983_profile_position.png",4,220,900)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0.02942655104</v>
      </c>
      <c r="G3490" t="n">
        <v>0.3193590977405088</v>
      </c>
      <c r="H3490" t="n">
        <v>0.0107291106725364</v>
      </c>
      <c r="I3490" t="n">
        <v>0.6712363820550541</v>
      </c>
      <c r="J3490" t="n">
        <v>0.0537423664542868</v>
      </c>
      <c r="K3490" t="n">
        <v>0.3362810355244994</v>
      </c>
      <c r="L3490" t="b">
        <v>0</v>
      </c>
      <c r="M3490" t="b">
        <v>0</v>
      </c>
      <c r="N3490" t="inlineStr">
        <is>
          <t>alt</t>
        </is>
      </c>
      <c r="O3490" t="n">
        <v>-30</v>
      </c>
      <c r="P3490" t="n">
        <v>0.00415</v>
      </c>
      <c r="Q3490" t="n">
        <v>0</v>
      </c>
      <c r="R3490" t="n">
        <v>0</v>
      </c>
      <c r="S3490">
        <f>IMAGE("https://mitra.stanford.edu/kundaje/oak/projects/neuro-variants/variant_position/credible/roussos_2024/variant_figures/roussos_2024.infant.GLU/rs1347798_count_position.png",4,220,900)</f>
        <v/>
      </c>
      <c r="T3490">
        <f>IMAGE("https://mitra.stanford.edu/kundaje/oak/projects/neuro-variants/variant_position/credible/roussos_2024/variant_figures/roussos_2024.infant.GLU/rs1347798_profile_position.png",4,220,900)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-0.0464895956</v>
      </c>
      <c r="G3491" t="n">
        <v>0.1964619637035516</v>
      </c>
      <c r="H3491" t="n">
        <v>0.0117245719900521</v>
      </c>
      <c r="I3491" t="n">
        <v>0.5819625761212887</v>
      </c>
      <c r="J3491" t="n">
        <v>0.08158689565466599</v>
      </c>
      <c r="K3491" t="n">
        <v>0.2517996042105104</v>
      </c>
      <c r="L3491" t="b">
        <v>0</v>
      </c>
      <c r="M3491" t="b">
        <v>0</v>
      </c>
      <c r="N3491" t="inlineStr">
        <is>
          <t>ref</t>
        </is>
      </c>
      <c r="O3491" t="n">
        <v>35</v>
      </c>
      <c r="P3491" t="n">
        <v>0.0006313</v>
      </c>
      <c r="Q3491" t="n">
        <v>100</v>
      </c>
      <c r="R3491" t="n">
        <v>0.0892</v>
      </c>
      <c r="S3491">
        <f>IMAGE("https://mitra.stanford.edu/kundaje/oak/projects/neuro-variants/variant_position/credible/roussos_2024/variant_figures/roussos_2024.infant.GLU/rs425263_count_position.png",4,220,900)</f>
        <v/>
      </c>
      <c r="T3491">
        <f>IMAGE("https://mitra.stanford.edu/kundaje/oak/projects/neuro-variants/variant_position/credible/roussos_2024/variant_figures/roussos_2024.infant.GLU/rs425263_profile_position.png",4,220,900)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-0.00825059844</v>
      </c>
      <c r="G3492" t="n">
        <v>0.6576457165402513</v>
      </c>
      <c r="H3492" t="n">
        <v>0.0361825769683088</v>
      </c>
      <c r="I3492" t="n">
        <v>0.0300028198806264</v>
      </c>
      <c r="J3492" t="n">
        <v>0.0296743755373794</v>
      </c>
      <c r="K3492" t="n">
        <v>0.4640208008966434</v>
      </c>
      <c r="L3492" t="b">
        <v>0</v>
      </c>
      <c r="M3492" t="b">
        <v>0</v>
      </c>
      <c r="N3492" t="inlineStr">
        <is>
          <t>ref</t>
        </is>
      </c>
      <c r="O3492" t="n">
        <v>95</v>
      </c>
      <c r="P3492" t="n">
        <v>0.1007</v>
      </c>
      <c r="Q3492" t="n">
        <v>70</v>
      </c>
      <c r="R3492" t="n">
        <v>0.05212</v>
      </c>
      <c r="S3492">
        <f>IMAGE("https://mitra.stanford.edu/kundaje/oak/projects/neuro-variants/variant_position/credible/roussos_2024/variant_figures/roussos_2024.infant.GLU/rs6580047_count_position.png",4,220,900)</f>
        <v/>
      </c>
      <c r="T3492">
        <f>IMAGE("https://mitra.stanford.edu/kundaje/oak/projects/neuro-variants/variant_position/credible/roussos_2024/variant_figures/roussos_2024.infant.GLU/rs6580047_profile_position.png",4,220,900)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0.21123416</v>
      </c>
      <c r="G3493" t="n">
        <v>0.0091448080098158</v>
      </c>
      <c r="H3493" t="n">
        <v>0.0235073091038719</v>
      </c>
      <c r="I3493" t="n">
        <v>0.1202825252402338</v>
      </c>
      <c r="J3493" t="n">
        <v>0.2495800171961462</v>
      </c>
      <c r="K3493" t="n">
        <v>0.0865262183109357</v>
      </c>
      <c r="L3493" t="b">
        <v>1</v>
      </c>
      <c r="M3493" t="b">
        <v>1</v>
      </c>
      <c r="N3493" t="inlineStr">
        <is>
          <t>alt</t>
        </is>
      </c>
      <c r="O3493" t="n">
        <v>95</v>
      </c>
      <c r="P3493" t="n">
        <v>0.03864</v>
      </c>
      <c r="Q3493" t="n">
        <v>35</v>
      </c>
      <c r="R3493" t="n">
        <v>0.1206</v>
      </c>
      <c r="S3493">
        <f>IMAGE("https://mitra.stanford.edu/kundaje/oak/projects/neuro-variants/variant_position/credible/roussos_2024/variant_figures/roussos_2024.infant.GLU/rs552556_count_position.png",4,220,900)</f>
        <v/>
      </c>
      <c r="T3493">
        <f>IMAGE("https://mitra.stanford.edu/kundaje/oak/projects/neuro-variants/variant_position/credible/roussos_2024/variant_figures/roussos_2024.infant.GLU/rs552556_profile_position.png",4,220,900)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-0.0275456698</v>
      </c>
      <c r="G3494" t="n">
        <v>0.3549714365596497</v>
      </c>
      <c r="H3494" t="n">
        <v>0.0216134641221055</v>
      </c>
      <c r="I3494" t="n">
        <v>0.1504558726197345</v>
      </c>
      <c r="J3494" t="n">
        <v>0.0200599660486341</v>
      </c>
      <c r="K3494" t="n">
        <v>0.5361521612783351</v>
      </c>
      <c r="L3494" t="b">
        <v>0</v>
      </c>
      <c r="M3494" t="b">
        <v>0</v>
      </c>
      <c r="N3494" t="inlineStr">
        <is>
          <t>ref</t>
        </is>
      </c>
      <c r="O3494" t="n">
        <v>-65</v>
      </c>
      <c r="P3494" t="n">
        <v>0.005116</v>
      </c>
      <c r="Q3494" t="n">
        <v>90</v>
      </c>
      <c r="R3494" t="n">
        <v>0.07825</v>
      </c>
      <c r="S3494">
        <f>IMAGE("https://mitra.stanford.edu/kundaje/oak/projects/neuro-variants/variant_position/credible/roussos_2024/variant_figures/roussos_2024.infant.GLU/rs2118660_count_position.png",4,220,900)</f>
        <v/>
      </c>
      <c r="T3494">
        <f>IMAGE("https://mitra.stanford.edu/kundaje/oak/projects/neuro-variants/variant_position/credible/roussos_2024/variant_figures/roussos_2024.infant.GLU/rs2118660_profile_position.png",4,220,900)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-0.0503282176</v>
      </c>
      <c r="G3495" t="n">
        <v>0.1713120572884844</v>
      </c>
      <c r="H3495" t="n">
        <v>0.0356411804881015</v>
      </c>
      <c r="I3495" t="n">
        <v>0.0316331241216678</v>
      </c>
      <c r="J3495" t="n">
        <v>0.0464593575696112</v>
      </c>
      <c r="K3495" t="n">
        <v>0.3560319106327942</v>
      </c>
      <c r="L3495" t="b">
        <v>0</v>
      </c>
      <c r="M3495" t="b">
        <v>0</v>
      </c>
      <c r="N3495" t="inlineStr">
        <is>
          <t>ref</t>
        </is>
      </c>
      <c r="O3495" t="n">
        <v>-20</v>
      </c>
      <c r="P3495" t="n">
        <v>0.079</v>
      </c>
      <c r="Q3495" t="n">
        <v>-20</v>
      </c>
      <c r="R3495" t="n">
        <v>0.01343</v>
      </c>
      <c r="S3495">
        <f>IMAGE("https://mitra.stanford.edu/kundaje/oak/projects/neuro-variants/variant_position/credible/roussos_2024/variant_figures/roussos_2024.infant.GLU/rs2560047_count_position.png",4,220,900)</f>
        <v/>
      </c>
      <c r="T3495">
        <f>IMAGE("https://mitra.stanford.edu/kundaje/oak/projects/neuro-variants/variant_position/credible/roussos_2024/variant_figures/roussos_2024.infant.GLU/rs2560047_profile_position.png",4,220,900)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-0.0185261374</v>
      </c>
      <c r="G3496" t="n">
        <v>0.4745773918376894</v>
      </c>
      <c r="H3496" t="n">
        <v>0.0159397757900233</v>
      </c>
      <c r="I3496" t="n">
        <v>0.3173897878245098</v>
      </c>
      <c r="J3496" t="n">
        <v>0.1185586101986374</v>
      </c>
      <c r="K3496" t="n">
        <v>0.189406685938678</v>
      </c>
      <c r="L3496" t="b">
        <v>0</v>
      </c>
      <c r="M3496" t="b">
        <v>0</v>
      </c>
      <c r="N3496" t="inlineStr">
        <is>
          <t>ref</t>
        </is>
      </c>
      <c r="O3496" t="n">
        <v>90</v>
      </c>
      <c r="P3496" t="n">
        <v>0.06665</v>
      </c>
      <c r="Q3496" t="n">
        <v>5</v>
      </c>
      <c r="R3496" t="n">
        <v>0.01215</v>
      </c>
      <c r="S3496">
        <f>IMAGE("https://mitra.stanford.edu/kundaje/oak/projects/neuro-variants/variant_position/credible/roussos_2024/variant_figures/roussos_2024.infant.GLU/rs10038905_count_position.png",4,220,900)</f>
        <v/>
      </c>
      <c r="T3496">
        <f>IMAGE("https://mitra.stanford.edu/kundaje/oak/projects/neuro-variants/variant_position/credible/roussos_2024/variant_figures/roussos_2024.infant.GLU/rs10038905_profile_position.png",4,220,900)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-0.0037970882799999</v>
      </c>
      <c r="G3497" t="n">
        <v>0.7662485698448003</v>
      </c>
      <c r="H3497" t="n">
        <v>0.0058306271306815</v>
      </c>
      <c r="I3497" t="n">
        <v>0.9888161111461538</v>
      </c>
      <c r="J3497" t="n">
        <v>0.0050100310853413</v>
      </c>
      <c r="K3497" t="n">
        <v>0.7551881531678257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0.122</v>
      </c>
      <c r="Q3497" t="n">
        <v>100</v>
      </c>
      <c r="R3497" t="n">
        <v>0.159</v>
      </c>
      <c r="S3497">
        <f>IMAGE("https://mitra.stanford.edu/kundaje/oak/projects/neuro-variants/variant_position/credible/roussos_2024/variant_figures/roussos_2024.infant.GLU/rs2578375_count_position.png",4,220,900)</f>
        <v/>
      </c>
      <c r="T3497">
        <f>IMAGE("https://mitra.stanford.edu/kundaje/oak/projects/neuro-variants/variant_position/credible/roussos_2024/variant_figures/roussos_2024.infant.GLU/rs2578375_profile_position.png",4,220,900)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-0.066167926</v>
      </c>
      <c r="G3498" t="n">
        <v>0.1121227357490006</v>
      </c>
      <c r="H3498" t="n">
        <v>0.011237712350591</v>
      </c>
      <c r="I3498" t="n">
        <v>0.624808849312837</v>
      </c>
      <c r="J3498" t="n">
        <v>0.0026907559690469</v>
      </c>
      <c r="K3498" t="n">
        <v>0.8231416767747525</v>
      </c>
      <c r="L3498" t="b">
        <v>0</v>
      </c>
      <c r="M3498" t="b">
        <v>0</v>
      </c>
      <c r="N3498" t="inlineStr">
        <is>
          <t>ref</t>
        </is>
      </c>
      <c r="O3498" t="n">
        <v>85</v>
      </c>
      <c r="P3498" t="n">
        <v>0.005573</v>
      </c>
      <c r="Q3498" t="n">
        <v>75</v>
      </c>
      <c r="R3498" t="n">
        <v>0.07184</v>
      </c>
      <c r="S3498">
        <f>IMAGE("https://mitra.stanford.edu/kundaje/oak/projects/neuro-variants/variant_position/credible/roussos_2024/variant_figures/roussos_2024.infant.GLU/rs2578376_count_position.png",4,220,900)</f>
        <v/>
      </c>
      <c r="T3498">
        <f>IMAGE("https://mitra.stanford.edu/kundaje/oak/projects/neuro-variants/variant_position/credible/roussos_2024/variant_figures/roussos_2024.infant.GLU/rs2578376_profile_position.png",4,220,900)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0.0186374902</v>
      </c>
      <c r="G3499" t="n">
        <v>0.4535946298901493</v>
      </c>
      <c r="H3499" t="n">
        <v>0.0441721985069945</v>
      </c>
      <c r="I3499" t="n">
        <v>0.0133611486120875</v>
      </c>
      <c r="J3499" t="n">
        <v>0.009474415220793999</v>
      </c>
      <c r="K3499" t="n">
        <v>0.6661492583239486</v>
      </c>
      <c r="L3499" t="b">
        <v>0</v>
      </c>
      <c r="M3499" t="b">
        <v>0</v>
      </c>
      <c r="N3499" t="inlineStr">
        <is>
          <t>alt</t>
        </is>
      </c>
      <c r="O3499" t="n">
        <v>-35</v>
      </c>
      <c r="P3499" t="n">
        <v>0.008789999999999999</v>
      </c>
      <c r="Q3499" t="n">
        <v>-100</v>
      </c>
      <c r="R3499" t="n">
        <v>0.11</v>
      </c>
      <c r="S3499">
        <f>IMAGE("https://mitra.stanford.edu/kundaje/oak/projects/neuro-variants/variant_position/credible/roussos_2024/variant_figures/roussos_2024.infant.GLU/rs567749_count_position.png",4,220,900)</f>
        <v/>
      </c>
      <c r="T3499">
        <f>IMAGE("https://mitra.stanford.edu/kundaje/oak/projects/neuro-variants/variant_position/credible/roussos_2024/variant_figures/roussos_2024.infant.GLU/rs567749_profile_position.png",4,220,900)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0.189820794</v>
      </c>
      <c r="G3500" t="n">
        <v>0.0116875002702498</v>
      </c>
      <c r="H3500" t="n">
        <v>0.0402191744226312</v>
      </c>
      <c r="I3500" t="n">
        <v>0.0199671454800713</v>
      </c>
      <c r="J3500" t="n">
        <v>0.2015035604841376</v>
      </c>
      <c r="K3500" t="n">
        <v>0.108595314710756</v>
      </c>
      <c r="L3500" t="b">
        <v>1</v>
      </c>
      <c r="M3500" t="b">
        <v>0</v>
      </c>
      <c r="N3500" t="inlineStr">
        <is>
          <t>alt</t>
        </is>
      </c>
      <c r="O3500" t="n">
        <v>5</v>
      </c>
      <c r="P3500" t="n">
        <v>0.001709</v>
      </c>
      <c r="Q3500" t="n">
        <v>70</v>
      </c>
      <c r="R3500" t="n">
        <v>0.03857</v>
      </c>
      <c r="S3500">
        <f>IMAGE("https://mitra.stanford.edu/kundaje/oak/projects/neuro-variants/variant_position/credible/roussos_2024/variant_figures/roussos_2024.infant.GLU/rs411245_count_position.png",4,220,900)</f>
        <v/>
      </c>
      <c r="T3500">
        <f>IMAGE("https://mitra.stanford.edu/kundaje/oak/projects/neuro-variants/variant_position/credible/roussos_2024/variant_figures/roussos_2024.infant.GLU/rs411245_profile_position.png",4,220,900)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-0.1072780532</v>
      </c>
      <c r="G3501" t="n">
        <v>0.0552471250281301</v>
      </c>
      <c r="H3501" t="n">
        <v>0.0210968171278379</v>
      </c>
      <c r="I3501" t="n">
        <v>0.1688965576528465</v>
      </c>
      <c r="J3501" t="n">
        <v>0.0423003152626821</v>
      </c>
      <c r="K3501" t="n">
        <v>0.3777265017609675</v>
      </c>
      <c r="L3501" t="b">
        <v>0</v>
      </c>
      <c r="M3501" t="b">
        <v>0</v>
      </c>
      <c r="N3501" t="inlineStr">
        <is>
          <t>ref</t>
        </is>
      </c>
      <c r="O3501" t="n">
        <v>-70</v>
      </c>
      <c r="P3501" t="n">
        <v>0.01337</v>
      </c>
      <c r="Q3501" t="n">
        <v>-65</v>
      </c>
      <c r="R3501" t="n">
        <v>0.05823</v>
      </c>
      <c r="S3501">
        <f>IMAGE("https://mitra.stanford.edu/kundaje/oak/projects/neuro-variants/variant_position/credible/roussos_2024/variant_figures/roussos_2024.infant.GLU/rs1438590_count_position.png",4,220,900)</f>
        <v/>
      </c>
      <c r="T3501">
        <f>IMAGE("https://mitra.stanford.edu/kundaje/oak/projects/neuro-variants/variant_position/credible/roussos_2024/variant_figures/roussos_2024.infant.GLU/rs1438590_profile_position.png",4,220,900)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0.0448639005999999</v>
      </c>
      <c r="G3502" t="n">
        <v>0.1877219162667324</v>
      </c>
      <c r="H3502" t="n">
        <v>0.0196400202727812</v>
      </c>
      <c r="I3502" t="n">
        <v>0.1924896390596341</v>
      </c>
      <c r="J3502" t="n">
        <v>0.1744052999404748</v>
      </c>
      <c r="K3502" t="n">
        <v>0.1316095925399115</v>
      </c>
      <c r="L3502" t="b">
        <v>0</v>
      </c>
      <c r="M3502" t="b">
        <v>0</v>
      </c>
      <c r="N3502" t="inlineStr">
        <is>
          <t>alt</t>
        </is>
      </c>
      <c r="O3502" t="n">
        <v>-70</v>
      </c>
      <c r="P3502" t="n">
        <v>0.01575</v>
      </c>
      <c r="Q3502" t="n">
        <v>75</v>
      </c>
      <c r="R3502" t="n">
        <v>0.01367</v>
      </c>
      <c r="S3502">
        <f>IMAGE("https://mitra.stanford.edu/kundaje/oak/projects/neuro-variants/variant_position/credible/roussos_2024/variant_figures/roussos_2024.infant.GLU/rs816028_count_position.png",4,220,900)</f>
        <v/>
      </c>
      <c r="T3502">
        <f>IMAGE("https://mitra.stanford.edu/kundaje/oak/projects/neuro-variants/variant_position/credible/roussos_2024/variant_figures/roussos_2024.infant.GLU/rs816028_profile_position.png",4,220,900)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0.033225504</v>
      </c>
      <c r="G3503" t="n">
        <v>0.2814361342863371</v>
      </c>
      <c r="H3503" t="n">
        <v>0.0133912140887311</v>
      </c>
      <c r="I3503" t="n">
        <v>0.4556129403147451</v>
      </c>
      <c r="J3503" t="n">
        <v>0.0073943429087942</v>
      </c>
      <c r="K3503" t="n">
        <v>0.7297635336001964</v>
      </c>
      <c r="L3503" t="b">
        <v>0</v>
      </c>
      <c r="M3503" t="b">
        <v>0</v>
      </c>
      <c r="N3503" t="inlineStr">
        <is>
          <t>alt</t>
        </is>
      </c>
      <c r="O3503" t="n">
        <v>-100</v>
      </c>
      <c r="P3503" t="n">
        <v>0.005608</v>
      </c>
      <c r="Q3503" t="n">
        <v>-5</v>
      </c>
      <c r="R3503" t="n">
        <v>0.012985</v>
      </c>
      <c r="S3503">
        <f>IMAGE("https://mitra.stanford.edu/kundaje/oak/projects/neuro-variants/variant_position/credible/roussos_2024/variant_figures/roussos_2024.infant.GLU/rs1478350_count_position.png",4,220,900)</f>
        <v/>
      </c>
      <c r="T3503">
        <f>IMAGE("https://mitra.stanford.edu/kundaje/oak/projects/neuro-variants/variant_position/credible/roussos_2024/variant_figures/roussos_2024.infant.GLU/rs1478350_profile_position.png",4,220,900)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0.0300616392</v>
      </c>
      <c r="G3504" t="n">
        <v>0.326573863549341</v>
      </c>
      <c r="H3504" t="n">
        <v>0.0103081647168297</v>
      </c>
      <c r="I3504" t="n">
        <v>0.6966989808930976</v>
      </c>
      <c r="J3504" t="n">
        <v>0.0145505853303643</v>
      </c>
      <c r="K3504" t="n">
        <v>0.5996968311703121</v>
      </c>
      <c r="L3504" t="b">
        <v>0</v>
      </c>
      <c r="M3504" t="b">
        <v>0</v>
      </c>
      <c r="N3504" t="inlineStr">
        <is>
          <t>alt</t>
        </is>
      </c>
      <c r="O3504" t="n">
        <v>15</v>
      </c>
      <c r="P3504" t="n">
        <v>0.00238</v>
      </c>
      <c r="Q3504" t="n">
        <v>-60</v>
      </c>
      <c r="R3504" t="n">
        <v>0.09039999999999999</v>
      </c>
      <c r="S3504">
        <f>IMAGE("https://mitra.stanford.edu/kundaje/oak/projects/neuro-variants/variant_position/credible/roussos_2024/variant_figures/roussos_2024.infant.GLU/rs816009_count_position.png",4,220,900)</f>
        <v/>
      </c>
      <c r="T3504">
        <f>IMAGE("https://mitra.stanford.edu/kundaje/oak/projects/neuro-variants/variant_position/credible/roussos_2024/variant_figures/roussos_2024.infant.GLU/rs816009_profile_position.png",4,220,900)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-0.07355926979999999</v>
      </c>
      <c r="G3505" t="n">
        <v>0.098282860175919</v>
      </c>
      <c r="H3505" t="n">
        <v>0.0239378980430432</v>
      </c>
      <c r="I3505" t="n">
        <v>0.115646377012436</v>
      </c>
      <c r="J3505" t="n">
        <v>0.0008057937785224</v>
      </c>
      <c r="K3505" t="n">
        <v>0.9296485561105456</v>
      </c>
      <c r="L3505" t="b">
        <v>0</v>
      </c>
      <c r="M3505" t="b">
        <v>0</v>
      </c>
      <c r="N3505" t="inlineStr">
        <is>
          <t>ref</t>
        </is>
      </c>
      <c r="O3505" t="n">
        <v>85</v>
      </c>
      <c r="P3505" t="n">
        <v>0.00523</v>
      </c>
      <c r="Q3505" t="n">
        <v>-55</v>
      </c>
      <c r="R3505" t="n">
        <v>0.01956</v>
      </c>
      <c r="S3505">
        <f>IMAGE("https://mitra.stanford.edu/kundaje/oak/projects/neuro-variants/variant_position/credible/roussos_2024/variant_figures/roussos_2024.infant.GLU/rs816010_count_position.png",4,220,900)</f>
        <v/>
      </c>
      <c r="T3505">
        <f>IMAGE("https://mitra.stanford.edu/kundaje/oak/projects/neuro-variants/variant_position/credible/roussos_2024/variant_figures/roussos_2024.infant.GLU/rs816010_profile_position.png",4,220,900)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-0.0009111556119998999</v>
      </c>
      <c r="G3506" t="n">
        <v>0.7985314219145119</v>
      </c>
      <c r="H3506" t="n">
        <v>0.0076184039244114</v>
      </c>
      <c r="I3506" t="n">
        <v>0.9160545487001645</v>
      </c>
      <c r="J3506" t="n">
        <v>0.0148956105734253</v>
      </c>
      <c r="K3506" t="n">
        <v>0.5954639150751241</v>
      </c>
      <c r="L3506" t="b">
        <v>0</v>
      </c>
      <c r="M3506" t="b">
        <v>0</v>
      </c>
      <c r="N3506" t="inlineStr">
        <is>
          <t>ref</t>
        </is>
      </c>
      <c r="O3506" t="n">
        <v>55</v>
      </c>
      <c r="P3506" t="n">
        <v>0.008704999999999999</v>
      </c>
      <c r="Q3506" t="n">
        <v>-50</v>
      </c>
      <c r="R3506" t="n">
        <v>0.0343</v>
      </c>
      <c r="S3506">
        <f>IMAGE("https://mitra.stanford.edu/kundaje/oak/projects/neuro-variants/variant_position/credible/roussos_2024/variant_figures/roussos_2024.infant.GLU/rs816012_count_position.png",4,220,900)</f>
        <v/>
      </c>
      <c r="T3506">
        <f>IMAGE("https://mitra.stanford.edu/kundaje/oak/projects/neuro-variants/variant_position/credible/roussos_2024/variant_figures/roussos_2024.infant.GLU/rs816012_profile_position.png",4,220,900)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-0.02387833924</v>
      </c>
      <c r="G3507" t="n">
        <v>0.4124842322595713</v>
      </c>
      <c r="H3507" t="n">
        <v>0.0348904074695473</v>
      </c>
      <c r="I3507" t="n">
        <v>0.034203641327817</v>
      </c>
      <c r="J3507" t="n">
        <v>0.0385105491743644</v>
      </c>
      <c r="K3507" t="n">
        <v>0.3985261304181343</v>
      </c>
      <c r="L3507" t="b">
        <v>0</v>
      </c>
      <c r="M3507" t="b">
        <v>0</v>
      </c>
      <c r="N3507" t="inlineStr">
        <is>
          <t>ref</t>
        </is>
      </c>
      <c r="O3507" t="n">
        <v>90</v>
      </c>
      <c r="P3507" t="n">
        <v>0.03864</v>
      </c>
      <c r="Q3507" t="n">
        <v>70</v>
      </c>
      <c r="R3507" t="n">
        <v>0.1501</v>
      </c>
      <c r="S3507">
        <f>IMAGE("https://mitra.stanford.edu/kundaje/oak/projects/neuro-variants/variant_position/credible/roussos_2024/variant_figures/roussos_2024.infant.GLU/rs4958355_count_position.png",4,220,900)</f>
        <v/>
      </c>
      <c r="T3507">
        <f>IMAGE("https://mitra.stanford.edu/kundaje/oak/projects/neuro-variants/variant_position/credible/roussos_2024/variant_figures/roussos_2024.infant.GLU/rs4958355_profile_position.png",4,220,900)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0.0005375792399999</v>
      </c>
      <c r="G3508" t="n">
        <v>0.3049656924204612</v>
      </c>
      <c r="H3508" t="n">
        <v>0.0159903666672395</v>
      </c>
      <c r="I3508" t="n">
        <v>0.3201654181205434</v>
      </c>
      <c r="J3508" t="n">
        <v>0.0115996825326836</v>
      </c>
      <c r="K3508" t="n">
        <v>0.6536271763105168</v>
      </c>
      <c r="L3508" t="b">
        <v>0</v>
      </c>
      <c r="M3508" t="b">
        <v>0</v>
      </c>
      <c r="N3508" t="inlineStr">
        <is>
          <t>alt</t>
        </is>
      </c>
      <c r="O3508" t="n">
        <v>-5</v>
      </c>
      <c r="P3508" t="n">
        <v>0.001099</v>
      </c>
      <c r="Q3508" t="n">
        <v>55</v>
      </c>
      <c r="R3508" t="n">
        <v>0.01746</v>
      </c>
      <c r="S3508">
        <f>IMAGE("https://mitra.stanford.edu/kundaje/oak/projects/neuro-variants/variant_position/credible/roussos_2024/variant_figures/roussos_2024.infant.GLU/rs815620_count_position.png",4,220,900)</f>
        <v/>
      </c>
      <c r="T3508">
        <f>IMAGE("https://mitra.stanford.edu/kundaje/oak/projects/neuro-variants/variant_position/credible/roussos_2024/variant_figures/roussos_2024.infant.GLU/rs815620_profile_position.png",4,220,900)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0.2375444739999999</v>
      </c>
      <c r="G3509" t="n">
        <v>0.0067802844687379</v>
      </c>
      <c r="H3509" t="n">
        <v>0.0295006044705766</v>
      </c>
      <c r="I3509" t="n">
        <v>0.0622696994971134</v>
      </c>
      <c r="J3509" t="n">
        <v>0.3757258757909125</v>
      </c>
      <c r="K3509" t="n">
        <v>0.051436478590191</v>
      </c>
      <c r="L3509" t="b">
        <v>1</v>
      </c>
      <c r="M3509" t="b">
        <v>1</v>
      </c>
      <c r="N3509" t="inlineStr">
        <is>
          <t>alt</t>
        </is>
      </c>
      <c r="O3509" t="n">
        <v>70</v>
      </c>
      <c r="P3509" t="n">
        <v>0.1107</v>
      </c>
      <c r="Q3509" t="n">
        <v>-20</v>
      </c>
      <c r="R3509" t="n">
        <v>0.0781</v>
      </c>
      <c r="S3509">
        <f>IMAGE("https://mitra.stanford.edu/kundaje/oak/projects/neuro-variants/variant_position/credible/roussos_2024/variant_figures/roussos_2024.infant.GLU/rs890799_count_position.png",4,220,900)</f>
        <v/>
      </c>
      <c r="T3509">
        <f>IMAGE("https://mitra.stanford.edu/kundaje/oak/projects/neuro-variants/variant_position/credible/roussos_2024/variant_figures/roussos_2024.infant.GLU/rs890799_profile_position.png",4,220,900)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0.00942234628</v>
      </c>
      <c r="G3510" t="n">
        <v>0.6229302046447155</v>
      </c>
      <c r="H3510" t="n">
        <v>0.008769301657091199</v>
      </c>
      <c r="I3510" t="n">
        <v>0.8476301636194035</v>
      </c>
      <c r="J3510" t="n">
        <v>0.0426850239202803</v>
      </c>
      <c r="K3510" t="n">
        <v>0.3916826069399369</v>
      </c>
      <c r="L3510" t="b">
        <v>0</v>
      </c>
      <c r="M3510" t="b">
        <v>0</v>
      </c>
      <c r="N3510" t="inlineStr">
        <is>
          <t>alt</t>
        </is>
      </c>
      <c r="O3510" t="n">
        <v>-85</v>
      </c>
      <c r="P3510" t="n">
        <v>0.0151</v>
      </c>
      <c r="Q3510" t="n">
        <v>0</v>
      </c>
      <c r="R3510" t="n">
        <v>0</v>
      </c>
      <c r="S3510">
        <f>IMAGE("https://mitra.stanford.edu/kundaje/oak/projects/neuro-variants/variant_position/credible/roussos_2024/variant_figures/roussos_2024.infant.GLU/rs6580052_count_position.png",4,220,900)</f>
        <v/>
      </c>
      <c r="T3510">
        <f>IMAGE("https://mitra.stanford.edu/kundaje/oak/projects/neuro-variants/variant_position/credible/roussos_2024/variant_figures/roussos_2024.infant.GLU/rs6580052_profile_position.png",4,220,900)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-0.03129427582</v>
      </c>
      <c r="G3511" t="n">
        <v>0.3204030086218869</v>
      </c>
      <c r="H3511" t="n">
        <v>0.0118235247349161</v>
      </c>
      <c r="I3511" t="n">
        <v>0.572365711300187</v>
      </c>
      <c r="J3511" t="n">
        <v>0.0318900328490486</v>
      </c>
      <c r="K3511" t="n">
        <v>0.4507313955061812</v>
      </c>
      <c r="L3511" t="b">
        <v>0</v>
      </c>
      <c r="M3511" t="b">
        <v>0</v>
      </c>
      <c r="N3511" t="inlineStr">
        <is>
          <t>ref</t>
        </is>
      </c>
      <c r="O3511" t="n">
        <v>0</v>
      </c>
      <c r="P3511" t="n">
        <v>0</v>
      </c>
      <c r="Q3511" t="n">
        <v>70</v>
      </c>
      <c r="R3511" t="n">
        <v>0.1975</v>
      </c>
      <c r="S3511">
        <f>IMAGE("https://mitra.stanford.edu/kundaje/oak/projects/neuro-variants/variant_position/credible/roussos_2024/variant_figures/roussos_2024.infant.GLU/rs1428122_count_position.png",4,220,900)</f>
        <v/>
      </c>
      <c r="T3511">
        <f>IMAGE("https://mitra.stanford.edu/kundaje/oak/projects/neuro-variants/variant_position/credible/roussos_2024/variant_figures/roussos_2024.infant.GLU/rs1428122_profile_position.png",4,220,900)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0.1239814831999999</v>
      </c>
      <c r="G3512" t="n">
        <v>0.0357387608904226</v>
      </c>
      <c r="H3512" t="n">
        <v>0.0235321133604712</v>
      </c>
      <c r="I3512" t="n">
        <v>0.1227146851137405</v>
      </c>
      <c r="J3512" t="n">
        <v>0.0337595626005863</v>
      </c>
      <c r="K3512" t="n">
        <v>0.4466459968701436</v>
      </c>
      <c r="L3512" t="b">
        <v>0</v>
      </c>
      <c r="M3512" t="b">
        <v>0</v>
      </c>
      <c r="N3512" t="inlineStr">
        <is>
          <t>alt</t>
        </is>
      </c>
      <c r="O3512" t="n">
        <v>-25</v>
      </c>
      <c r="P3512" t="n">
        <v>0.002869</v>
      </c>
      <c r="Q3512" t="n">
        <v>10</v>
      </c>
      <c r="R3512" t="n">
        <v>0.031</v>
      </c>
      <c r="S3512">
        <f>IMAGE("https://mitra.stanford.edu/kundaje/oak/projects/neuro-variants/variant_position/credible/roussos_2024/variant_figures/roussos_2024.infant.GLU/rs77075605_count_position.png",4,220,900)</f>
        <v/>
      </c>
      <c r="T3512">
        <f>IMAGE("https://mitra.stanford.edu/kundaje/oak/projects/neuro-variants/variant_position/credible/roussos_2024/variant_figures/roussos_2024.infant.GLU/rs77075605_profile_position.png",4,220,900)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-0.009233707460000001</v>
      </c>
      <c r="G3513" t="n">
        <v>0.6761589191664751</v>
      </c>
      <c r="H3513" t="n">
        <v>0.009404026444611699</v>
      </c>
      <c r="I3513" t="n">
        <v>0.7825056141517968</v>
      </c>
      <c r="J3513" t="n">
        <v>0.2528461826759849</v>
      </c>
      <c r="K3513" t="n">
        <v>0.0838154439811942</v>
      </c>
      <c r="L3513" t="b">
        <v>0</v>
      </c>
      <c r="M3513" t="b">
        <v>0</v>
      </c>
      <c r="N3513" t="inlineStr">
        <is>
          <t>ref</t>
        </is>
      </c>
      <c r="O3513" t="n">
        <v>100</v>
      </c>
      <c r="P3513" t="n">
        <v>0.01245</v>
      </c>
      <c r="Q3513" t="n">
        <v>-75</v>
      </c>
      <c r="R3513" t="n">
        <v>0.1077</v>
      </c>
      <c r="S3513">
        <f>IMAGE("https://mitra.stanford.edu/kundaje/oak/projects/neuro-variants/variant_position/credible/roussos_2024/variant_figures/roussos_2024.infant.GLU/rs80336253_count_position.png",4,220,900)</f>
        <v/>
      </c>
      <c r="T3513">
        <f>IMAGE("https://mitra.stanford.edu/kundaje/oak/projects/neuro-variants/variant_position/credible/roussos_2024/variant_figures/roussos_2024.infant.GLU/rs80336253_profile_position.png",4,220,900)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0.0832064559999999</v>
      </c>
      <c r="G3514" t="n">
        <v>0.0716831351012381</v>
      </c>
      <c r="H3514" t="n">
        <v>0.0157345642522395</v>
      </c>
      <c r="I3514" t="n">
        <v>0.3261602215645942</v>
      </c>
      <c r="J3514" t="n">
        <v>0.0972210586653144</v>
      </c>
      <c r="K3514" t="n">
        <v>0.2276973384364192</v>
      </c>
      <c r="L3514" t="b">
        <v>0</v>
      </c>
      <c r="M3514" t="b">
        <v>0</v>
      </c>
      <c r="N3514" t="inlineStr">
        <is>
          <t>alt</t>
        </is>
      </c>
      <c r="O3514" t="n">
        <v>-35</v>
      </c>
      <c r="P3514" t="n">
        <v>0.0003967</v>
      </c>
      <c r="Q3514" t="n">
        <v>-60</v>
      </c>
      <c r="R3514" t="n">
        <v>0.105</v>
      </c>
      <c r="S3514">
        <f>IMAGE("https://mitra.stanford.edu/kundaje/oak/projects/neuro-variants/variant_position/credible/roussos_2024/variant_figures/roussos_2024.infant.GLU/rs73802964_count_position.png",4,220,900)</f>
        <v/>
      </c>
      <c r="T3514">
        <f>IMAGE("https://mitra.stanford.edu/kundaje/oak/projects/neuro-variants/variant_position/credible/roussos_2024/variant_figures/roussos_2024.infant.GLU/rs73802964_profile_position.png",4,220,900)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0.0210016148599999</v>
      </c>
      <c r="G3515" t="n">
        <v>0.4386647344920028</v>
      </c>
      <c r="H3515" t="n">
        <v>0.008849615647518501</v>
      </c>
      <c r="I3515" t="n">
        <v>0.8287766254837415</v>
      </c>
      <c r="J3515" t="n">
        <v>0.0439460746489119</v>
      </c>
      <c r="K3515" t="n">
        <v>0.3669212940237941</v>
      </c>
      <c r="L3515" t="b">
        <v>0</v>
      </c>
      <c r="M3515" t="b">
        <v>0</v>
      </c>
      <c r="N3515" t="inlineStr">
        <is>
          <t>alt</t>
        </is>
      </c>
      <c r="O3515" t="n">
        <v>5</v>
      </c>
      <c r="P3515" t="n">
        <v>0.0007324</v>
      </c>
      <c r="Q3515" t="n">
        <v>-25</v>
      </c>
      <c r="R3515" t="n">
        <v>0.01965</v>
      </c>
      <c r="S3515">
        <f>IMAGE("https://mitra.stanford.edu/kundaje/oak/projects/neuro-variants/variant_position/credible/roussos_2024/variant_figures/roussos_2024.infant.GLU/rs73802970_count_position.png",4,220,900)</f>
        <v/>
      </c>
      <c r="T3515">
        <f>IMAGE("https://mitra.stanford.edu/kundaje/oak/projects/neuro-variants/variant_position/credible/roussos_2024/variant_figures/roussos_2024.infant.GLU/rs73802970_profile_position.png",4,220,900)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0.0331674682</v>
      </c>
      <c r="G3516" t="n">
        <v>0.2796102373064364</v>
      </c>
      <c r="H3516" t="n">
        <v>0.0399474556604438</v>
      </c>
      <c r="I3516" t="n">
        <v>0.0202947034520267</v>
      </c>
      <c r="J3516" t="n">
        <v>0.0057000815714631</v>
      </c>
      <c r="K3516" t="n">
        <v>0.7395224288104024</v>
      </c>
      <c r="L3516" t="b">
        <v>0</v>
      </c>
      <c r="M3516" t="b">
        <v>0</v>
      </c>
      <c r="N3516" t="inlineStr">
        <is>
          <t>alt</t>
        </is>
      </c>
      <c r="O3516" t="n">
        <v>-100</v>
      </c>
      <c r="P3516" t="n">
        <v>0.4963</v>
      </c>
      <c r="Q3516" t="n">
        <v>-100</v>
      </c>
      <c r="R3516" t="n">
        <v>0.1835</v>
      </c>
      <c r="S3516">
        <f>IMAGE("https://mitra.stanford.edu/kundaje/oak/projects/neuro-variants/variant_position/credible/roussos_2024/variant_figures/roussos_2024.infant.GLU/rs531293_count_position.png",4,220,900)</f>
        <v/>
      </c>
      <c r="T3516">
        <f>IMAGE("https://mitra.stanford.edu/kundaje/oak/projects/neuro-variants/variant_position/credible/roussos_2024/variant_figures/roussos_2024.infant.GLU/rs531293_profile_position.png",4,220,900)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0.0460436084</v>
      </c>
      <c r="G3517" t="n">
        <v>0.1827299434976184</v>
      </c>
      <c r="H3517" t="n">
        <v>0.0134015170343019</v>
      </c>
      <c r="I3517" t="n">
        <v>0.4566958085186628</v>
      </c>
      <c r="J3517" t="n">
        <v>0.0897230979518948</v>
      </c>
      <c r="K3517" t="n">
        <v>0.2243536814852145</v>
      </c>
      <c r="L3517" t="b">
        <v>0</v>
      </c>
      <c r="M3517" t="b">
        <v>0</v>
      </c>
      <c r="N3517" t="inlineStr">
        <is>
          <t>alt</t>
        </is>
      </c>
      <c r="O3517" t="n">
        <v>100</v>
      </c>
      <c r="P3517" t="n">
        <v>0.01826</v>
      </c>
      <c r="Q3517" t="n">
        <v>-45</v>
      </c>
      <c r="R3517" t="n">
        <v>0.07335999999999999</v>
      </c>
      <c r="S3517">
        <f>IMAGE("https://mitra.stanford.edu/kundaje/oak/projects/neuro-variants/variant_position/credible/roussos_2024/variant_figures/roussos_2024.infant.GLU/rs2434528_count_position.png",4,220,900)</f>
        <v/>
      </c>
      <c r="T3517">
        <f>IMAGE("https://mitra.stanford.edu/kundaje/oak/projects/neuro-variants/variant_position/credible/roussos_2024/variant_figures/roussos_2024.infant.GLU/rs2434528_profile_position.png",4,220,900)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-0.22330722</v>
      </c>
      <c r="G3518" t="n">
        <v>0.0079007111609916</v>
      </c>
      <c r="H3518" t="n">
        <v>0.0358214694876591</v>
      </c>
      <c r="I3518" t="n">
        <v>0.0313038514313105</v>
      </c>
      <c r="J3518" t="n">
        <v>0.0528241363345752</v>
      </c>
      <c r="K3518" t="n">
        <v>0.3317762394442511</v>
      </c>
      <c r="L3518" t="b">
        <v>1</v>
      </c>
      <c r="M3518" t="b">
        <v>1</v>
      </c>
      <c r="N3518" t="inlineStr">
        <is>
          <t>ref</t>
        </is>
      </c>
      <c r="O3518" t="n">
        <v>90</v>
      </c>
      <c r="P3518" t="n">
        <v>0.003883</v>
      </c>
      <c r="Q3518" t="n">
        <v>-60</v>
      </c>
      <c r="R3518" t="n">
        <v>0.08057</v>
      </c>
      <c r="S3518">
        <f>IMAGE("https://mitra.stanford.edu/kundaje/oak/projects/neuro-variants/variant_position/credible/roussos_2024/variant_figures/roussos_2024.infant.GLU/rs2434535_count_position.png",4,220,900)</f>
        <v/>
      </c>
      <c r="T3518">
        <f>IMAGE("https://mitra.stanford.edu/kundaje/oak/projects/neuro-variants/variant_position/credible/roussos_2024/variant_figures/roussos_2024.infant.GLU/rs2434535_profile_position.png",4,220,900)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-0.1429053152</v>
      </c>
      <c r="G3519" t="n">
        <v>0.0256000662767912</v>
      </c>
      <c r="H3519" t="n">
        <v>0.0295892129045581</v>
      </c>
      <c r="I3519" t="n">
        <v>0.06277718209025381</v>
      </c>
      <c r="J3519" t="n">
        <v>0.1546209131594611</v>
      </c>
      <c r="K3519" t="n">
        <v>0.1390610210510024</v>
      </c>
      <c r="L3519" t="b">
        <v>0</v>
      </c>
      <c r="M3519" t="b">
        <v>0</v>
      </c>
      <c r="N3519" t="inlineStr">
        <is>
          <t>ref</t>
        </is>
      </c>
      <c r="O3519" t="n">
        <v>-45</v>
      </c>
      <c r="P3519" t="n">
        <v>0.01465</v>
      </c>
      <c r="Q3519" t="n">
        <v>35</v>
      </c>
      <c r="R3519" t="n">
        <v>0.11816</v>
      </c>
      <c r="S3519">
        <f>IMAGE("https://mitra.stanford.edu/kundaje/oak/projects/neuro-variants/variant_position/credible/roussos_2024/variant_figures/roussos_2024.infant.GLU/rs693446_count_position.png",4,220,900)</f>
        <v/>
      </c>
      <c r="T3519">
        <f>IMAGE("https://mitra.stanford.edu/kundaje/oak/projects/neuro-variants/variant_position/credible/roussos_2024/variant_figures/roussos_2024.infant.GLU/rs693446_profile_position.png",4,220,900)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-0.0201896348</v>
      </c>
      <c r="G3520" t="n">
        <v>0.2040860131462898</v>
      </c>
      <c r="H3520" t="n">
        <v>0.01240786959502</v>
      </c>
      <c r="I3520" t="n">
        <v>0.5303319914549658</v>
      </c>
      <c r="J3520" t="n">
        <v>0.2278489384686611</v>
      </c>
      <c r="K3520" t="n">
        <v>0.0948355325273032</v>
      </c>
      <c r="L3520" t="b">
        <v>0</v>
      </c>
      <c r="M3520" t="b">
        <v>0</v>
      </c>
      <c r="N3520" t="inlineStr">
        <is>
          <t>ref</t>
        </is>
      </c>
      <c r="O3520" t="n">
        <v>-30</v>
      </c>
      <c r="P3520" t="n">
        <v>0.004974</v>
      </c>
      <c r="Q3520" t="n">
        <v>40</v>
      </c>
      <c r="R3520" t="n">
        <v>0.0564</v>
      </c>
      <c r="S3520">
        <f>IMAGE("https://mitra.stanford.edu/kundaje/oak/projects/neuro-variants/variant_position/credible/roussos_2024/variant_figures/roussos_2024.infant.GLU/rs73281462_count_position.png",4,220,900)</f>
        <v/>
      </c>
      <c r="T3520">
        <f>IMAGE("https://mitra.stanford.edu/kundaje/oak/projects/neuro-variants/variant_position/credible/roussos_2024/variant_figures/roussos_2024.infant.GLU/rs73281462_profile_position.png",4,220,900)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0.0187251651999999</v>
      </c>
      <c r="G3521" t="n">
        <v>0.4540308514804693</v>
      </c>
      <c r="H3521" t="n">
        <v>0.0266099271973294</v>
      </c>
      <c r="I3521" t="n">
        <v>0.08392404187691729</v>
      </c>
      <c r="J3521" t="n">
        <v>0.1317577548005908</v>
      </c>
      <c r="K3521" t="n">
        <v>0.1643080488401859</v>
      </c>
      <c r="L3521" t="b">
        <v>0</v>
      </c>
      <c r="M3521" t="b">
        <v>0</v>
      </c>
      <c r="N3521" t="inlineStr">
        <is>
          <t>alt</t>
        </is>
      </c>
      <c r="O3521" t="n">
        <v>25</v>
      </c>
      <c r="P3521" t="n">
        <v>0.01245</v>
      </c>
      <c r="Q3521" t="n">
        <v>85</v>
      </c>
      <c r="R3521" t="n">
        <v>0.1095</v>
      </c>
      <c r="S3521">
        <f>IMAGE("https://mitra.stanford.edu/kundaje/oak/projects/neuro-variants/variant_position/credible/roussos_2024/variant_figures/roussos_2024.infant.GLU/rs73281464_count_position.png",4,220,900)</f>
        <v/>
      </c>
      <c r="T3521">
        <f>IMAGE("https://mitra.stanford.edu/kundaje/oak/projects/neuro-variants/variant_position/credible/roussos_2024/variant_figures/roussos_2024.infant.GLU/rs73281464_profile_position.png",4,220,900)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-0.09985345879999991</v>
      </c>
      <c r="G3522" t="n">
        <v>0.0570127457030902</v>
      </c>
      <c r="H3522" t="n">
        <v>0.0150215424996147</v>
      </c>
      <c r="I3522" t="n">
        <v>0.369670916827264</v>
      </c>
      <c r="J3522" t="n">
        <v>0.0101170660728851</v>
      </c>
      <c r="K3522" t="n">
        <v>0.6855318583775596</v>
      </c>
      <c r="L3522" t="b">
        <v>0</v>
      </c>
      <c r="M3522" t="b">
        <v>0</v>
      </c>
      <c r="N3522" t="inlineStr">
        <is>
          <t>ref</t>
        </is>
      </c>
      <c r="O3522" t="n">
        <v>80</v>
      </c>
      <c r="P3522" t="n">
        <v>0.02289</v>
      </c>
      <c r="Q3522" t="n">
        <v>100</v>
      </c>
      <c r="R3522" t="n">
        <v>0.1051</v>
      </c>
      <c r="S3522">
        <f>IMAGE("https://mitra.stanford.edu/kundaje/oak/projects/neuro-variants/variant_position/credible/roussos_2024/variant_figures/roussos_2024.infant.GLU/rs73279685_count_position.png",4,220,900)</f>
        <v/>
      </c>
      <c r="T3522">
        <f>IMAGE("https://mitra.stanford.edu/kundaje/oak/projects/neuro-variants/variant_position/credible/roussos_2024/variant_figures/roussos_2024.infant.GLU/rs73279685_profile_position.png",4,220,900)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0.0201095198599999</v>
      </c>
      <c r="G3523" t="n">
        <v>0.4378137998038773</v>
      </c>
      <c r="H3523" t="n">
        <v>0.0369564113050134</v>
      </c>
      <c r="I3523" t="n">
        <v>0.0278317114838804</v>
      </c>
      <c r="J3523" t="n">
        <v>0.1896624705130183</v>
      </c>
      <c r="K3523" t="n">
        <v>0.1157867035689775</v>
      </c>
      <c r="L3523" t="b">
        <v>0</v>
      </c>
      <c r="M3523" t="b">
        <v>0</v>
      </c>
      <c r="N3523" t="inlineStr">
        <is>
          <t>alt</t>
        </is>
      </c>
      <c r="O3523" t="n">
        <v>-15</v>
      </c>
      <c r="P3523" t="n">
        <v>0.003784</v>
      </c>
      <c r="Q3523" t="n">
        <v>-25</v>
      </c>
      <c r="R3523" t="n">
        <v>0.03162</v>
      </c>
      <c r="S3523">
        <f>IMAGE("https://mitra.stanford.edu/kundaje/oak/projects/neuro-variants/variant_position/credible/roussos_2024/variant_figures/roussos_2024.infant.GLU/rs7702643_count_position.png",4,220,900)</f>
        <v/>
      </c>
      <c r="T3523">
        <f>IMAGE("https://mitra.stanford.edu/kundaje/oak/projects/neuro-variants/variant_position/credible/roussos_2024/variant_figures/roussos_2024.infant.GLU/rs7702643_profile_position.png",4,220,900)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-0.0515536707999999</v>
      </c>
      <c r="G3524" t="n">
        <v>0.16297985096888</v>
      </c>
      <c r="H3524" t="n">
        <v>0.0089709414095664</v>
      </c>
      <c r="I3524" t="n">
        <v>0.8366353852188966</v>
      </c>
      <c r="J3524" t="n">
        <v>0.07528605127979</v>
      </c>
      <c r="K3524" t="n">
        <v>0.2613024597386898</v>
      </c>
      <c r="L3524" t="b">
        <v>0</v>
      </c>
      <c r="M3524" t="b">
        <v>0</v>
      </c>
      <c r="N3524" t="inlineStr">
        <is>
          <t>ref</t>
        </is>
      </c>
      <c r="O3524" t="n">
        <v>-100</v>
      </c>
      <c r="P3524" t="n">
        <v>0.06152</v>
      </c>
      <c r="Q3524" t="n">
        <v>80</v>
      </c>
      <c r="R3524" t="n">
        <v>0.06915</v>
      </c>
      <c r="S3524">
        <f>IMAGE("https://mitra.stanford.edu/kundaje/oak/projects/neuro-variants/variant_position/credible/roussos_2024/variant_figures/roussos_2024.infant.GLU/rs6556578_count_position.png",4,220,900)</f>
        <v/>
      </c>
      <c r="T3524">
        <f>IMAGE("https://mitra.stanford.edu/kundaje/oak/projects/neuro-variants/variant_position/credible/roussos_2024/variant_figures/roussos_2024.infant.GLU/rs6556578_profile_position.png",4,220,900)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0.0559801247999999</v>
      </c>
      <c r="G3525" t="n">
        <v>0.1403453730426843</v>
      </c>
      <c r="H3525" t="n">
        <v>0.018754719984734</v>
      </c>
      <c r="I3525" t="n">
        <v>0.2158312975728243</v>
      </c>
      <c r="J3525" t="n">
        <v>0.0118190436297096</v>
      </c>
      <c r="K3525" t="n">
        <v>0.6325802491266271</v>
      </c>
      <c r="L3525" t="b">
        <v>0</v>
      </c>
      <c r="M3525" t="b">
        <v>0</v>
      </c>
      <c r="N3525" t="inlineStr">
        <is>
          <t>alt</t>
        </is>
      </c>
      <c r="O3525" t="n">
        <v>100</v>
      </c>
      <c r="P3525" t="n">
        <v>0.005333</v>
      </c>
      <c r="Q3525" t="n">
        <v>50</v>
      </c>
      <c r="R3525" t="n">
        <v>0.0886</v>
      </c>
      <c r="S3525">
        <f>IMAGE("https://mitra.stanford.edu/kundaje/oak/projects/neuro-variants/variant_position/credible/roussos_2024/variant_figures/roussos_2024.infant.GLU/rs10036164_count_position.png",4,220,900)</f>
        <v/>
      </c>
      <c r="T3525">
        <f>IMAGE("https://mitra.stanford.edu/kundaje/oak/projects/neuro-variants/variant_position/credible/roussos_2024/variant_figures/roussos_2024.infant.GLU/rs10036164_profile_position.png",4,220,900)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-0.1078012442</v>
      </c>
      <c r="G3526" t="n">
        <v>0.0451610857710486</v>
      </c>
      <c r="H3526" t="n">
        <v>0.0198169413985803</v>
      </c>
      <c r="I3526" t="n">
        <v>0.1880539782599979</v>
      </c>
      <c r="J3526" t="n">
        <v>0.5758603584735114</v>
      </c>
      <c r="K3526" t="n">
        <v>0.0234517148983035</v>
      </c>
      <c r="L3526" t="b">
        <v>0</v>
      </c>
      <c r="M3526" t="b">
        <v>0</v>
      </c>
      <c r="N3526" t="inlineStr">
        <is>
          <t>ref</t>
        </is>
      </c>
      <c r="O3526" t="n">
        <v>-85</v>
      </c>
      <c r="P3526" t="n">
        <v>0.01968</v>
      </c>
      <c r="Q3526" t="n">
        <v>20</v>
      </c>
      <c r="R3526" t="n">
        <v>0.06444999999999999</v>
      </c>
      <c r="S3526">
        <f>IMAGE("https://mitra.stanford.edu/kundaje/oak/projects/neuro-variants/variant_position/credible/roussos_2024/variant_figures/roussos_2024.infant.GLU/rs35414747_count_position.png",4,220,900)</f>
        <v/>
      </c>
      <c r="T3526">
        <f>IMAGE("https://mitra.stanford.edu/kundaje/oak/projects/neuro-variants/variant_position/credible/roussos_2024/variant_figures/roussos_2024.infant.GLU/rs35414747_profile_position.png",4,220,900)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-0.0149319332</v>
      </c>
      <c r="G3527" t="n">
        <v>0.5328244927835647</v>
      </c>
      <c r="H3527" t="n">
        <v>0.0323205810698987</v>
      </c>
      <c r="I3527" t="n">
        <v>0.0449569183243583</v>
      </c>
      <c r="J3527" t="n">
        <v>0.2181805154434621</v>
      </c>
      <c r="K3527" t="n">
        <v>0.0984117722458441</v>
      </c>
      <c r="L3527" t="b">
        <v>0</v>
      </c>
      <c r="M3527" t="b">
        <v>0</v>
      </c>
      <c r="N3527" t="inlineStr">
        <is>
          <t>ref</t>
        </is>
      </c>
      <c r="O3527" t="n">
        <v>45</v>
      </c>
      <c r="P3527" t="n">
        <v>0.01791</v>
      </c>
      <c r="Q3527" t="n">
        <v>-55</v>
      </c>
      <c r="R3527" t="n">
        <v>0.07794</v>
      </c>
      <c r="S3527">
        <f>IMAGE("https://mitra.stanford.edu/kundaje/oak/projects/neuro-variants/variant_position/credible/roussos_2024/variant_figures/roussos_2024.infant.GLU/rs9367911_count_position.png",4,220,900)</f>
        <v/>
      </c>
      <c r="T3527">
        <f>IMAGE("https://mitra.stanford.edu/kundaje/oak/projects/neuro-variants/variant_position/credible/roussos_2024/variant_figures/roussos_2024.infant.GLU/rs9367911_profile_position.png",4,220,900)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-0.0734527022</v>
      </c>
      <c r="G3528" t="n">
        <v>0.1010717690457273</v>
      </c>
      <c r="H3528" t="n">
        <v>0.0210827618373112</v>
      </c>
      <c r="I3528" t="n">
        <v>0.1715338717484337</v>
      </c>
      <c r="J3528" t="n">
        <v>0.6499129169514319</v>
      </c>
      <c r="K3528" t="n">
        <v>0.0171959729053086</v>
      </c>
      <c r="L3528" t="b">
        <v>0</v>
      </c>
      <c r="M3528" t="b">
        <v>0</v>
      </c>
      <c r="N3528" t="inlineStr">
        <is>
          <t>ref</t>
        </is>
      </c>
      <c r="O3528" t="n">
        <v>100</v>
      </c>
      <c r="P3528" t="n">
        <v>0.036</v>
      </c>
      <c r="Q3528" t="n">
        <v>85</v>
      </c>
      <c r="R3528" t="n">
        <v>0.4368</v>
      </c>
      <c r="S3528">
        <f>IMAGE("https://mitra.stanford.edu/kundaje/oak/projects/neuro-variants/variant_position/credible/roussos_2024/variant_figures/roussos_2024.infant.GLU/rs2857504_count_position.png",4,220,900)</f>
        <v/>
      </c>
      <c r="T3528">
        <f>IMAGE("https://mitra.stanford.edu/kundaje/oak/projects/neuro-variants/variant_position/credible/roussos_2024/variant_figures/roussos_2024.infant.GLU/rs2857504_profile_position.png",4,220,900)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0.0491516254</v>
      </c>
      <c r="G3529" t="n">
        <v>0.1665693412754303</v>
      </c>
      <c r="H3529" t="n">
        <v>0.013117138778248</v>
      </c>
      <c r="I3529" t="n">
        <v>0.4742611574293137</v>
      </c>
      <c r="J3529" t="n">
        <v>0.4507870543883242</v>
      </c>
      <c r="K3529" t="n">
        <v>0.0370371553303474</v>
      </c>
      <c r="L3529" t="b">
        <v>0</v>
      </c>
      <c r="M3529" t="b">
        <v>0</v>
      </c>
      <c r="N3529" t="inlineStr">
        <is>
          <t>alt</t>
        </is>
      </c>
      <c r="O3529" t="n">
        <v>-100</v>
      </c>
      <c r="P3529" t="n">
        <v>0.00447</v>
      </c>
      <c r="Q3529" t="n">
        <v>90</v>
      </c>
      <c r="R3529" t="n">
        <v>0.1854</v>
      </c>
      <c r="S3529">
        <f>IMAGE("https://mitra.stanford.edu/kundaje/oak/projects/neuro-variants/variant_position/credible/roussos_2024/variant_figures/roussos_2024.infant.GLU/rs2245173_count_position.png",4,220,900)</f>
        <v/>
      </c>
      <c r="T3529">
        <f>IMAGE("https://mitra.stanford.edu/kundaje/oak/projects/neuro-variants/variant_position/credible/roussos_2024/variant_figures/roussos_2024.infant.GLU/rs2245173_profile_position.png",4,220,900)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-0.00181585678</v>
      </c>
      <c r="G3530" t="n">
        <v>0.8064561471350252</v>
      </c>
      <c r="H3530" t="n">
        <v>0.0344212913071384</v>
      </c>
      <c r="I3530" t="n">
        <v>0.0362042883416578</v>
      </c>
      <c r="J3530" t="n">
        <v>0.6964736876915276</v>
      </c>
      <c r="K3530" t="n">
        <v>0.0143066218579552</v>
      </c>
      <c r="L3530" t="b">
        <v>0</v>
      </c>
      <c r="M3530" t="b">
        <v>0</v>
      </c>
      <c r="N3530" t="inlineStr">
        <is>
          <t>ref</t>
        </is>
      </c>
      <c r="O3530" t="n">
        <v>25</v>
      </c>
      <c r="P3530" t="n">
        <v>0.0293</v>
      </c>
      <c r="Q3530" t="n">
        <v>-75</v>
      </c>
      <c r="R3530" t="n">
        <v>0.1718</v>
      </c>
      <c r="S3530">
        <f>IMAGE("https://mitra.stanford.edu/kundaje/oak/projects/neuro-variants/variant_position/credible/roussos_2024/variant_figures/roussos_2024.infant.GLU/rs2857513_count_position.png",4,220,900)</f>
        <v/>
      </c>
      <c r="T3530">
        <f>IMAGE("https://mitra.stanford.edu/kundaje/oak/projects/neuro-variants/variant_position/credible/roussos_2024/variant_figures/roussos_2024.infant.GLU/rs2857513_profile_position.png",4,220,900)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0.109046434</v>
      </c>
      <c r="G3531" t="n">
        <v>0.0436366437819539</v>
      </c>
      <c r="H3531" t="n">
        <v>0.029747113833945</v>
      </c>
      <c r="I3531" t="n">
        <v>0.0600425393462801</v>
      </c>
      <c r="J3531" t="n">
        <v>0.1632520558213364</v>
      </c>
      <c r="K3531" t="n">
        <v>0.1381103650274085</v>
      </c>
      <c r="L3531" t="b">
        <v>0</v>
      </c>
      <c r="M3531" t="b">
        <v>0</v>
      </c>
      <c r="N3531" t="inlineStr">
        <is>
          <t>alt</t>
        </is>
      </c>
      <c r="O3531" t="n">
        <v>0</v>
      </c>
      <c r="P3531" t="n">
        <v>0</v>
      </c>
      <c r="Q3531" t="n">
        <v>-20</v>
      </c>
      <c r="R3531" t="n">
        <v>0.01111</v>
      </c>
      <c r="S3531">
        <f>IMAGE("https://mitra.stanford.edu/kundaje/oak/projects/neuro-variants/variant_position/credible/roussos_2024/variant_figures/roussos_2024.infant.GLU/rs13195969_count_position.png",4,220,900)</f>
        <v/>
      </c>
      <c r="T3531">
        <f>IMAGE("https://mitra.stanford.edu/kundaje/oak/projects/neuro-variants/variant_position/credible/roussos_2024/variant_figures/roussos_2024.infant.GLU/rs13195969_profile_position.png",4,220,900)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-0.0599330732</v>
      </c>
      <c r="G3532" t="n">
        <v>0.1377826918226112</v>
      </c>
      <c r="H3532" t="n">
        <v>0.0481920284464131</v>
      </c>
      <c r="I3532" t="n">
        <v>0.0090394358587859</v>
      </c>
      <c r="J3532" t="n">
        <v>0.1437553737957185</v>
      </c>
      <c r="K3532" t="n">
        <v>0.1506731567110155</v>
      </c>
      <c r="L3532" t="b">
        <v>1</v>
      </c>
      <c r="M3532" t="b">
        <v>1</v>
      </c>
      <c r="N3532" t="inlineStr">
        <is>
          <t>ref</t>
        </is>
      </c>
      <c r="O3532" t="n">
        <v>-80</v>
      </c>
      <c r="P3532" t="n">
        <v>0.0166</v>
      </c>
      <c r="Q3532" t="n">
        <v>-85</v>
      </c>
      <c r="R3532" t="n">
        <v>0.11523</v>
      </c>
      <c r="S3532">
        <f>IMAGE("https://mitra.stanford.edu/kundaje/oak/projects/neuro-variants/variant_position/credible/roussos_2024/variant_figures/roussos_2024.infant.GLU/rs56240592_count_position.png",4,220,900)</f>
        <v/>
      </c>
      <c r="T3532">
        <f>IMAGE("https://mitra.stanford.edu/kundaje/oak/projects/neuro-variants/variant_position/credible/roussos_2024/variant_figures/roussos_2024.infant.GLU/rs56240592_profile_position.png",4,220,900)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0.21692567</v>
      </c>
      <c r="G3533" t="n">
        <v>0.008332113049138799</v>
      </c>
      <c r="H3533" t="n">
        <v>0.0369048342808578</v>
      </c>
      <c r="I3533" t="n">
        <v>0.028334530382206</v>
      </c>
      <c r="J3533" t="n">
        <v>0.0716307678740712</v>
      </c>
      <c r="K3533" t="n">
        <v>0.2698194528409745</v>
      </c>
      <c r="L3533" t="b">
        <v>1</v>
      </c>
      <c r="M3533" t="b">
        <v>1</v>
      </c>
      <c r="N3533" t="inlineStr">
        <is>
          <t>alt</t>
        </is>
      </c>
      <c r="O3533" t="n">
        <v>-65</v>
      </c>
      <c r="P3533" t="n">
        <v>0.004333</v>
      </c>
      <c r="Q3533" t="n">
        <v>-95</v>
      </c>
      <c r="R3533" t="n">
        <v>0.0791</v>
      </c>
      <c r="S3533">
        <f>IMAGE("https://mitra.stanford.edu/kundaje/oak/projects/neuro-variants/variant_position/credible/roussos_2024/variant_figures/roussos_2024.infant.GLU/rs9463650_count_position.png",4,220,900)</f>
        <v/>
      </c>
      <c r="T3533">
        <f>IMAGE("https://mitra.stanford.edu/kundaje/oak/projects/neuro-variants/variant_position/credible/roussos_2024/variant_figures/roussos_2024.infant.GLU/rs9463650_profile_position.png",4,220,900)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-0.0439481224</v>
      </c>
      <c r="G3534" t="n">
        <v>0.2151761370295022</v>
      </c>
      <c r="H3534" t="n">
        <v>0.0182624043466499</v>
      </c>
      <c r="I3534" t="n">
        <v>0.2310363208663281</v>
      </c>
      <c r="J3534" t="n">
        <v>0.0069236535196983</v>
      </c>
      <c r="K3534" t="n">
        <v>0.7195256677321508</v>
      </c>
      <c r="L3534" t="b">
        <v>0</v>
      </c>
      <c r="M3534" t="b">
        <v>0</v>
      </c>
      <c r="N3534" t="inlineStr">
        <is>
          <t>ref</t>
        </is>
      </c>
      <c r="O3534" t="n">
        <v>100</v>
      </c>
      <c r="P3534" t="n">
        <v>0.1109</v>
      </c>
      <c r="Q3534" t="n">
        <v>100</v>
      </c>
      <c r="R3534" t="n">
        <v>0.103</v>
      </c>
      <c r="S3534">
        <f>IMAGE("https://mitra.stanford.edu/kundaje/oak/projects/neuro-variants/variant_position/credible/roussos_2024/variant_figures/roussos_2024.infant.GLU/rs9463664_count_position.png",4,220,900)</f>
        <v/>
      </c>
      <c r="T3534">
        <f>IMAGE("https://mitra.stanford.edu/kundaje/oak/projects/neuro-variants/variant_position/credible/roussos_2024/variant_figures/roussos_2024.infant.GLU/rs9463664_profile_position.png",4,220,900)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0.020891606</v>
      </c>
      <c r="G3535" t="n">
        <v>0.4163362814969254</v>
      </c>
      <c r="H3535" t="n">
        <v>0.0179844045462641</v>
      </c>
      <c r="I3535" t="n">
        <v>0.237481789451162</v>
      </c>
      <c r="J3535" t="n">
        <v>0.0841949778434268</v>
      </c>
      <c r="K3535" t="n">
        <v>0.2361349100064211</v>
      </c>
      <c r="L3535" t="b">
        <v>0</v>
      </c>
      <c r="M3535" t="b">
        <v>0</v>
      </c>
      <c r="N3535" t="inlineStr">
        <is>
          <t>alt</t>
        </is>
      </c>
      <c r="O3535" t="n">
        <v>-65</v>
      </c>
      <c r="P3535" t="n">
        <v>0.0257</v>
      </c>
      <c r="Q3535" t="n">
        <v>-100</v>
      </c>
      <c r="R3535" t="n">
        <v>0.10846</v>
      </c>
      <c r="S3535">
        <f>IMAGE("https://mitra.stanford.edu/kundaje/oak/projects/neuro-variants/variant_position/credible/roussos_2024/variant_figures/roussos_2024.infant.GLU/rs2894780_count_position.png",4,220,900)</f>
        <v/>
      </c>
      <c r="T3535">
        <f>IMAGE("https://mitra.stanford.edu/kundaje/oak/projects/neuro-variants/variant_position/credible/roussos_2024/variant_figures/roussos_2024.infant.GLU/rs2894780_profile_position.png",4,220,900)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-0.0614642237999999</v>
      </c>
      <c r="G3536" t="n">
        <v>0.1301596476132097</v>
      </c>
      <c r="H3536" t="n">
        <v>0.0203963595529443</v>
      </c>
      <c r="I3536" t="n">
        <v>0.1780721590622716</v>
      </c>
      <c r="J3536" t="n">
        <v>0.0563471416918362</v>
      </c>
      <c r="K3536" t="n">
        <v>0.3119390752579974</v>
      </c>
      <c r="L3536" t="b">
        <v>0</v>
      </c>
      <c r="M3536" t="b">
        <v>0</v>
      </c>
      <c r="N3536" t="inlineStr">
        <is>
          <t>ref</t>
        </is>
      </c>
      <c r="O3536" t="n">
        <v>-80</v>
      </c>
      <c r="P3536" t="n">
        <v>0.1311</v>
      </c>
      <c r="Q3536" t="n">
        <v>-100</v>
      </c>
      <c r="R3536" t="n">
        <v>0.2522</v>
      </c>
      <c r="S3536">
        <f>IMAGE("https://mitra.stanford.edu/kundaje/oak/projects/neuro-variants/variant_position/credible/roussos_2024/variant_figures/roussos_2024.infant.GLU/rs9341835_count_position.png",4,220,900)</f>
        <v/>
      </c>
      <c r="T3536">
        <f>IMAGE("https://mitra.stanford.edu/kundaje/oak/projects/neuro-variants/variant_position/credible/roussos_2024/variant_figures/roussos_2024.infant.GLU/rs9341835_profile_position.png",4,220,900)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-0.06495264619999989</v>
      </c>
      <c r="G3537" t="n">
        <v>0.1192038955082935</v>
      </c>
      <c r="H3537" t="n">
        <v>0.0141545082990692</v>
      </c>
      <c r="I3537" t="n">
        <v>0.4101594147885222</v>
      </c>
      <c r="J3537" t="n">
        <v>0.1339745144293304</v>
      </c>
      <c r="K3537" t="n">
        <v>0.1693360232264765</v>
      </c>
      <c r="L3537" t="b">
        <v>0</v>
      </c>
      <c r="M3537" t="b">
        <v>0</v>
      </c>
      <c r="N3537" t="inlineStr">
        <is>
          <t>ref</t>
        </is>
      </c>
      <c r="O3537" t="n">
        <v>25</v>
      </c>
      <c r="P3537" t="n">
        <v>0.001297</v>
      </c>
      <c r="Q3537" t="n">
        <v>100</v>
      </c>
      <c r="R3537" t="n">
        <v>0.0315</v>
      </c>
      <c r="S3537">
        <f>IMAGE("https://mitra.stanford.edu/kundaje/oak/projects/neuro-variants/variant_position/credible/roussos_2024/variant_figures/roussos_2024.infant.GLU/rs9344129_count_position.png",4,220,900)</f>
        <v/>
      </c>
      <c r="T3537">
        <f>IMAGE("https://mitra.stanford.edu/kundaje/oak/projects/neuro-variants/variant_position/credible/roussos_2024/variant_figures/roussos_2024.infant.GLU/rs9344129_profile_position.png",4,220,900)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0.0464839908</v>
      </c>
      <c r="G3538" t="n">
        <v>0.1825834516293987</v>
      </c>
      <c r="H3538" t="n">
        <v>0.0332288105689118</v>
      </c>
      <c r="I3538" t="n">
        <v>0.0408647919039995</v>
      </c>
      <c r="J3538" t="n">
        <v>0.0462609404969244</v>
      </c>
      <c r="K3538" t="n">
        <v>0.3629227524767383</v>
      </c>
      <c r="L3538" t="b">
        <v>0</v>
      </c>
      <c r="M3538" t="b">
        <v>0</v>
      </c>
      <c r="N3538" t="inlineStr">
        <is>
          <t>alt</t>
        </is>
      </c>
      <c r="O3538" t="n">
        <v>-50</v>
      </c>
      <c r="P3538" t="n">
        <v>0.02075</v>
      </c>
      <c r="Q3538" t="n">
        <v>100</v>
      </c>
      <c r="R3538" t="n">
        <v>0.12286</v>
      </c>
      <c r="S3538">
        <f>IMAGE("https://mitra.stanford.edu/kundaje/oak/projects/neuro-variants/variant_position/credible/roussos_2024/variant_figures/roussos_2024.infant.GLU/rs10943823_count_position.png",4,220,900)</f>
        <v/>
      </c>
      <c r="T3538">
        <f>IMAGE("https://mitra.stanford.edu/kundaje/oak/projects/neuro-variants/variant_position/credible/roussos_2024/variant_figures/roussos_2024.infant.GLU/rs10943823_profile_position.png",4,220,900)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0.0291864632</v>
      </c>
      <c r="G3539" t="n">
        <v>0.3267768572347177</v>
      </c>
      <c r="H3539" t="n">
        <v>0.0072498900265556</v>
      </c>
      <c r="I3539" t="n">
        <v>0.9543311450630156</v>
      </c>
      <c r="J3539" t="n">
        <v>0.1366211777155581</v>
      </c>
      <c r="K3539" t="n">
        <v>0.1678452708512904</v>
      </c>
      <c r="L3539" t="b">
        <v>0</v>
      </c>
      <c r="M3539" t="b">
        <v>0</v>
      </c>
      <c r="N3539" t="inlineStr">
        <is>
          <t>alt</t>
        </is>
      </c>
      <c r="O3539" t="n">
        <v>-100</v>
      </c>
      <c r="P3539" t="n">
        <v>0.009056</v>
      </c>
      <c r="Q3539" t="n">
        <v>-100</v>
      </c>
      <c r="R3539" t="n">
        <v>0.1708</v>
      </c>
      <c r="S3539">
        <f>IMAGE("https://mitra.stanford.edu/kundaje/oak/projects/neuro-variants/variant_position/credible/roussos_2024/variant_figures/roussos_2024.infant.GLU/rs2789588_count_position.png",4,220,900)</f>
        <v/>
      </c>
      <c r="T3539">
        <f>IMAGE("https://mitra.stanford.edu/kundaje/oak/projects/neuro-variants/variant_position/credible/roussos_2024/variant_figures/roussos_2024.infant.GLU/rs2789588_profile_position.png",4,220,900)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0.0962851126</v>
      </c>
      <c r="G3540" t="n">
        <v>0.0580568386295385</v>
      </c>
      <c r="H3540" t="n">
        <v>0.014979128162285</v>
      </c>
      <c r="I3540" t="n">
        <v>0.3706690686212406</v>
      </c>
      <c r="J3540" t="n">
        <v>0.0124594898476597</v>
      </c>
      <c r="K3540" t="n">
        <v>0.660908619471544</v>
      </c>
      <c r="L3540" t="b">
        <v>0</v>
      </c>
      <c r="M3540" t="b">
        <v>0</v>
      </c>
      <c r="N3540" t="inlineStr">
        <is>
          <t>alt</t>
        </is>
      </c>
      <c r="O3540" t="n">
        <v>-100</v>
      </c>
      <c r="P3540" t="n">
        <v>0.049</v>
      </c>
      <c r="Q3540" t="n">
        <v>100</v>
      </c>
      <c r="R3540" t="n">
        <v>0.0984</v>
      </c>
      <c r="S3540">
        <f>IMAGE("https://mitra.stanford.edu/kundaje/oak/projects/neuro-variants/variant_position/credible/roussos_2024/variant_figures/roussos_2024.infant.GLU/rs1856507_count_position.png",4,220,900)</f>
        <v/>
      </c>
      <c r="T3540">
        <f>IMAGE("https://mitra.stanford.edu/kundaje/oak/projects/neuro-variants/variant_position/credible/roussos_2024/variant_figures/roussos_2024.infant.GLU/rs1856507_profile_position.png",4,220,900)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-0.0736998324</v>
      </c>
      <c r="G3541" t="n">
        <v>0.0886304356681409</v>
      </c>
      <c r="H3541" t="n">
        <v>0.0143547163657636</v>
      </c>
      <c r="I3541" t="n">
        <v>0.3941919877451906</v>
      </c>
      <c r="J3541" t="n">
        <v>0.0314281619965166</v>
      </c>
      <c r="K3541" t="n">
        <v>0.4643060854448112</v>
      </c>
      <c r="L3541" t="b">
        <v>0</v>
      </c>
      <c r="M3541" t="b">
        <v>0</v>
      </c>
      <c r="N3541" t="inlineStr">
        <is>
          <t>ref</t>
        </is>
      </c>
      <c r="O3541" t="n">
        <v>-25</v>
      </c>
      <c r="P3541" t="n">
        <v>0.03345</v>
      </c>
      <c r="Q3541" t="n">
        <v>-10</v>
      </c>
      <c r="R3541" t="n">
        <v>0.02039</v>
      </c>
      <c r="S3541">
        <f>IMAGE("https://mitra.stanford.edu/kundaje/oak/projects/neuro-variants/variant_position/credible/roussos_2024/variant_figures/roussos_2024.infant.GLU/rs2023569_count_position.png",4,220,900)</f>
        <v/>
      </c>
      <c r="T3541">
        <f>IMAGE("https://mitra.stanford.edu/kundaje/oak/projects/neuro-variants/variant_position/credible/roussos_2024/variant_figures/roussos_2024.infant.GLU/rs2023569_profile_position.png",4,220,900)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0.0210993669999999</v>
      </c>
      <c r="G3542" t="n">
        <v>0.3196475231466776</v>
      </c>
      <c r="H3542" t="n">
        <v>0.0108264467729375</v>
      </c>
      <c r="I3542" t="n">
        <v>0.6577094698221094</v>
      </c>
      <c r="J3542" t="n">
        <v>0.1168180515443461</v>
      </c>
      <c r="K3542" t="n">
        <v>0.1831385219915746</v>
      </c>
      <c r="L3542" t="b">
        <v>0</v>
      </c>
      <c r="M3542" t="b">
        <v>0</v>
      </c>
      <c r="N3542" t="inlineStr">
        <is>
          <t>alt</t>
        </is>
      </c>
      <c r="O3542" t="n">
        <v>100</v>
      </c>
      <c r="P3542" t="n">
        <v>0.06027</v>
      </c>
      <c r="Q3542" t="n">
        <v>100</v>
      </c>
      <c r="R3542" t="n">
        <v>0.1339</v>
      </c>
      <c r="S3542">
        <f>IMAGE("https://mitra.stanford.edu/kundaje/oak/projects/neuro-variants/variant_position/credible/roussos_2024/variant_figures/roussos_2024.infant.GLU/rs2022265_count_position.png",4,220,900)</f>
        <v/>
      </c>
      <c r="T3542">
        <f>IMAGE("https://mitra.stanford.edu/kundaje/oak/projects/neuro-variants/variant_position/credible/roussos_2024/variant_figures/roussos_2024.infant.GLU/rs2022265_profile_position.png",4,220,900)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-0.017764085</v>
      </c>
      <c r="G3543" t="n">
        <v>0.3742926375049769</v>
      </c>
      <c r="H3543" t="n">
        <v>0.0172483364664081</v>
      </c>
      <c r="I3543" t="n">
        <v>0.2649052415028434</v>
      </c>
      <c r="J3543" t="n">
        <v>0.0228157587248395</v>
      </c>
      <c r="K3543" t="n">
        <v>0.5358033357658896</v>
      </c>
      <c r="L3543" t="b">
        <v>0</v>
      </c>
      <c r="M3543" t="b">
        <v>0</v>
      </c>
      <c r="N3543" t="inlineStr">
        <is>
          <t>ref</t>
        </is>
      </c>
      <c r="O3543" t="n">
        <v>50</v>
      </c>
      <c r="P3543" t="n">
        <v>0.1538</v>
      </c>
      <c r="Q3543" t="n">
        <v>90</v>
      </c>
      <c r="R3543" t="n">
        <v>0.126</v>
      </c>
      <c r="S3543">
        <f>IMAGE("https://mitra.stanford.edu/kundaje/oak/projects/neuro-variants/variant_position/credible/roussos_2024/variant_figures/roussos_2024.infant.GLU/rs2208335_count_position.png",4,220,900)</f>
        <v/>
      </c>
      <c r="T3543">
        <f>IMAGE("https://mitra.stanford.edu/kundaje/oak/projects/neuro-variants/variant_position/credible/roussos_2024/variant_figures/roussos_2024.infant.GLU/rs2208335_profile_position.png",4,220,900)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-0.03016105236</v>
      </c>
      <c r="G3544" t="n">
        <v>0.2564864634168022</v>
      </c>
      <c r="H3544" t="n">
        <v>0.0159827993744788</v>
      </c>
      <c r="I3544" t="n">
        <v>0.3158154529622287</v>
      </c>
      <c r="J3544" t="n">
        <v>0.1060142419365506</v>
      </c>
      <c r="K3544" t="n">
        <v>0.1987714471924128</v>
      </c>
      <c r="L3544" t="b">
        <v>0</v>
      </c>
      <c r="M3544" t="b">
        <v>0</v>
      </c>
      <c r="N3544" t="inlineStr">
        <is>
          <t>ref</t>
        </is>
      </c>
      <c r="O3544" t="n">
        <v>-35</v>
      </c>
      <c r="P3544" t="n">
        <v>0.002228</v>
      </c>
      <c r="Q3544" t="n">
        <v>95</v>
      </c>
      <c r="R3544" t="n">
        <v>0.06274</v>
      </c>
      <c r="S3544">
        <f>IMAGE("https://mitra.stanford.edu/kundaje/oak/projects/neuro-variants/variant_position/credible/roussos_2024/variant_figures/roussos_2024.infant.GLU/rs2324447_count_position.png",4,220,900)</f>
        <v/>
      </c>
      <c r="T3544">
        <f>IMAGE("https://mitra.stanford.edu/kundaje/oak/projects/neuro-variants/variant_position/credible/roussos_2024/variant_figures/roussos_2024.infant.GLU/rs2324447_profile_position.png",4,220,900)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-0.0521001108</v>
      </c>
      <c r="G3545" t="n">
        <v>0.1641472556510936</v>
      </c>
      <c r="H3545" t="n">
        <v>0.0265945107068519</v>
      </c>
      <c r="I3545" t="n">
        <v>0.0835695089382808</v>
      </c>
      <c r="J3545" t="n">
        <v>0.1654500760598778</v>
      </c>
      <c r="K3545" t="n">
        <v>0.1319061615303605</v>
      </c>
      <c r="L3545" t="b">
        <v>0</v>
      </c>
      <c r="M3545" t="b">
        <v>0</v>
      </c>
      <c r="N3545" t="inlineStr">
        <is>
          <t>ref</t>
        </is>
      </c>
      <c r="O3545" t="n">
        <v>-100</v>
      </c>
      <c r="P3545" t="n">
        <v>0.07227</v>
      </c>
      <c r="Q3545" t="n">
        <v>-90</v>
      </c>
      <c r="R3545" t="n">
        <v>0.127</v>
      </c>
      <c r="S3545">
        <f>IMAGE("https://mitra.stanford.edu/kundaje/oak/projects/neuro-variants/variant_position/credible/roussos_2024/variant_figures/roussos_2024.infant.GLU/rs2207944_count_position.png",4,220,900)</f>
        <v/>
      </c>
      <c r="T3545">
        <f>IMAGE("https://mitra.stanford.edu/kundaje/oak/projects/neuro-variants/variant_position/credible/roussos_2024/variant_figures/roussos_2024.infant.GLU/rs2207944_profile_position.png",4,220,900)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0.145624456</v>
      </c>
      <c r="G3546" t="n">
        <v>0.0218603169643553</v>
      </c>
      <c r="H3546" t="n">
        <v>0.0224247275359871</v>
      </c>
      <c r="I3546" t="n">
        <v>0.1367308161873465</v>
      </c>
      <c r="J3546" t="n">
        <v>0.1435404219669745</v>
      </c>
      <c r="K3546" t="n">
        <v>0.1529532596131508</v>
      </c>
      <c r="L3546" t="b">
        <v>0</v>
      </c>
      <c r="M3546" t="b">
        <v>0</v>
      </c>
      <c r="N3546" t="inlineStr">
        <is>
          <t>alt</t>
        </is>
      </c>
      <c r="O3546" t="n">
        <v>-45</v>
      </c>
      <c r="P3546" t="n">
        <v>0.00482</v>
      </c>
      <c r="Q3546" t="n">
        <v>-35</v>
      </c>
      <c r="R3546" t="n">
        <v>0.07006999999999999</v>
      </c>
      <c r="S3546">
        <f>IMAGE("https://mitra.stanford.edu/kundaje/oak/projects/neuro-variants/variant_position/credible/roussos_2024/variant_figures/roussos_2024.infant.GLU/rs217331_count_position.png",4,220,900)</f>
        <v/>
      </c>
      <c r="T3546">
        <f>IMAGE("https://mitra.stanford.edu/kundaje/oak/projects/neuro-variants/variant_position/credible/roussos_2024/variant_figures/roussos_2024.infant.GLU/rs217331_profile_position.png",4,220,900)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-0.0181251422</v>
      </c>
      <c r="G3547" t="n">
        <v>0.3771132648344571</v>
      </c>
      <c r="H3547" t="n">
        <v>0.0135862474044052</v>
      </c>
      <c r="I3547" t="n">
        <v>0.4437826503739416</v>
      </c>
      <c r="J3547" t="n">
        <v>0.0467448576908661</v>
      </c>
      <c r="K3547" t="n">
        <v>0.3526224785811289</v>
      </c>
      <c r="L3547" t="b">
        <v>0</v>
      </c>
      <c r="M3547" t="b">
        <v>0</v>
      </c>
      <c r="N3547" t="inlineStr">
        <is>
          <t>ref</t>
        </is>
      </c>
      <c r="O3547" t="n">
        <v>100</v>
      </c>
      <c r="P3547" t="n">
        <v>0.02487</v>
      </c>
      <c r="Q3547" t="n">
        <v>40</v>
      </c>
      <c r="R3547" t="n">
        <v>0.0873</v>
      </c>
      <c r="S3547">
        <f>IMAGE("https://mitra.stanford.edu/kundaje/oak/projects/neuro-variants/variant_position/credible/roussos_2024/variant_figures/roussos_2024.infant.GLU/rs217311_count_position.png",4,220,900)</f>
        <v/>
      </c>
      <c r="T3547">
        <f>IMAGE("https://mitra.stanford.edu/kundaje/oak/projects/neuro-variants/variant_position/credible/roussos_2024/variant_figures/roussos_2024.infant.GLU/rs217311_profile_position.png",4,220,900)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-0.02566601296</v>
      </c>
      <c r="G3548" t="n">
        <v>0.3688009865026471</v>
      </c>
      <c r="H3548" t="n">
        <v>0.0104855265162479</v>
      </c>
      <c r="I3548" t="n">
        <v>0.6875642408954962</v>
      </c>
      <c r="J3548" t="n">
        <v>0.0085837430278444</v>
      </c>
      <c r="K3548" t="n">
        <v>0.6827068794817358</v>
      </c>
      <c r="L3548" t="b">
        <v>0</v>
      </c>
      <c r="M3548" t="b">
        <v>0</v>
      </c>
      <c r="N3548" t="inlineStr">
        <is>
          <t>ref</t>
        </is>
      </c>
      <c r="O3548" t="n">
        <v>35</v>
      </c>
      <c r="P3548" t="n">
        <v>0.0005035</v>
      </c>
      <c r="Q3548" t="n">
        <v>95</v>
      </c>
      <c r="R3548" t="n">
        <v>0.1085</v>
      </c>
      <c r="S3548">
        <f>IMAGE("https://mitra.stanford.edu/kundaje/oak/projects/neuro-variants/variant_position/credible/roussos_2024/variant_figures/roussos_2024.infant.GLU/rs217303_count_position.png",4,220,900)</f>
        <v/>
      </c>
      <c r="T3548">
        <f>IMAGE("https://mitra.stanford.edu/kundaje/oak/projects/neuro-variants/variant_position/credible/roussos_2024/variant_figures/roussos_2024.infant.GLU/rs217303_profile_position.png",4,220,900)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0.0765108184</v>
      </c>
      <c r="G3549" t="n">
        <v>0.09458264290389411</v>
      </c>
      <c r="H3549" t="n">
        <v>0.0149112142300433</v>
      </c>
      <c r="I3549" t="n">
        <v>0.3685262931791553</v>
      </c>
      <c r="J3549" t="n">
        <v>0.0005985581692717</v>
      </c>
      <c r="K3549" t="n">
        <v>0.9180594431180586</v>
      </c>
      <c r="L3549" t="b">
        <v>0</v>
      </c>
      <c r="M3549" t="b">
        <v>0</v>
      </c>
      <c r="N3549" t="inlineStr">
        <is>
          <t>alt</t>
        </is>
      </c>
      <c r="O3549" t="n">
        <v>-55</v>
      </c>
      <c r="P3549" t="n">
        <v>0.05496</v>
      </c>
      <c r="Q3549" t="n">
        <v>-90</v>
      </c>
      <c r="R3549" t="n">
        <v>0.04886</v>
      </c>
      <c r="S3549">
        <f>IMAGE("https://mitra.stanford.edu/kundaje/oak/projects/neuro-variants/variant_position/credible/roussos_2024/variant_figures/roussos_2024.infant.GLU/rs217289_count_position.png",4,220,900)</f>
        <v/>
      </c>
      <c r="T3549">
        <f>IMAGE("https://mitra.stanford.edu/kundaje/oak/projects/neuro-variants/variant_position/credible/roussos_2024/variant_figures/roussos_2024.infant.GLU/rs217289_profile_position.png",4,220,900)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0.0269931835999999</v>
      </c>
      <c r="G3550" t="n">
        <v>0.3417904164554197</v>
      </c>
      <c r="H3550" t="n">
        <v>0.041875926258343</v>
      </c>
      <c r="I3550" t="n">
        <v>0.0166310450661556</v>
      </c>
      <c r="J3550" t="n">
        <v>0.0251956612800105</v>
      </c>
      <c r="K3550" t="n">
        <v>0.4895977240836832</v>
      </c>
      <c r="L3550" t="b">
        <v>1</v>
      </c>
      <c r="M3550" t="b">
        <v>0</v>
      </c>
      <c r="N3550" t="inlineStr">
        <is>
          <t>alt</t>
        </is>
      </c>
      <c r="O3550" t="n">
        <v>-45</v>
      </c>
      <c r="P3550" t="n">
        <v>0.004456</v>
      </c>
      <c r="Q3550" t="n">
        <v>75</v>
      </c>
      <c r="R3550" t="n">
        <v>0.02972</v>
      </c>
      <c r="S3550">
        <f>IMAGE("https://mitra.stanford.edu/kundaje/oak/projects/neuro-variants/variant_position/credible/roussos_2024/variant_figures/roussos_2024.infant.GLU/rs6917686_count_position.png",4,220,900)</f>
        <v/>
      </c>
      <c r="T3550">
        <f>IMAGE("https://mitra.stanford.edu/kundaje/oak/projects/neuro-variants/variant_position/credible/roussos_2024/variant_figures/roussos_2024.infant.GLU/rs6917686_profile_position.png",4,220,900)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0.00776638896</v>
      </c>
      <c r="G3551" t="n">
        <v>0.6122134872500761</v>
      </c>
      <c r="H3551" t="n">
        <v>0.044326941299305</v>
      </c>
      <c r="I3551" t="n">
        <v>0.0130453369881311</v>
      </c>
      <c r="J3551" t="n">
        <v>0.023802332502921</v>
      </c>
      <c r="K3551" t="n">
        <v>0.5028390965336024</v>
      </c>
      <c r="L3551" t="b">
        <v>1</v>
      </c>
      <c r="M3551" t="b">
        <v>0</v>
      </c>
      <c r="N3551" t="inlineStr">
        <is>
          <t>alt</t>
        </is>
      </c>
      <c r="O3551" t="n">
        <v>70</v>
      </c>
      <c r="P3551" t="n">
        <v>0.013794</v>
      </c>
      <c r="Q3551" t="n">
        <v>75</v>
      </c>
      <c r="R3551" t="n">
        <v>0.02576</v>
      </c>
      <c r="S3551">
        <f>IMAGE("https://mitra.stanford.edu/kundaje/oak/projects/neuro-variants/variant_position/credible/roussos_2024/variant_figures/roussos_2024.infant.GLU/rs6940316_count_position.png",4,220,900)</f>
        <v/>
      </c>
      <c r="T3551">
        <f>IMAGE("https://mitra.stanford.edu/kundaje/oak/projects/neuro-variants/variant_position/credible/roussos_2024/variant_figures/roussos_2024.infant.GLU/rs6940316_profile_position.png",4,220,900)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0.01299343226</v>
      </c>
      <c r="G3552" t="n">
        <v>0.5599304104186136</v>
      </c>
      <c r="H3552" t="n">
        <v>0.0348807618016783</v>
      </c>
      <c r="I3552" t="n">
        <v>0.0344907726768461</v>
      </c>
      <c r="J3552" t="n">
        <v>0.0490630304900901</v>
      </c>
      <c r="K3552" t="n">
        <v>0.3529468091183143</v>
      </c>
      <c r="L3552" t="b">
        <v>0</v>
      </c>
      <c r="M3552" t="b">
        <v>0</v>
      </c>
      <c r="N3552" t="inlineStr">
        <is>
          <t>alt</t>
        </is>
      </c>
      <c r="O3552" t="n">
        <v>65</v>
      </c>
      <c r="P3552" t="n">
        <v>0.006577</v>
      </c>
      <c r="Q3552" t="n">
        <v>100</v>
      </c>
      <c r="R3552" t="n">
        <v>0.1161</v>
      </c>
      <c r="S3552">
        <f>IMAGE("https://mitra.stanford.edu/kundaje/oak/projects/neuro-variants/variant_position/credible/roussos_2024/variant_figures/roussos_2024.infant.GLU/rs12193330_count_position.png",4,220,900)</f>
        <v/>
      </c>
      <c r="T3552">
        <f>IMAGE("https://mitra.stanford.edu/kundaje/oak/projects/neuro-variants/variant_position/credible/roussos_2024/variant_figures/roussos_2024.infant.GLU/rs12193330_profile_position.png",4,220,900)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-0.0436337835999999</v>
      </c>
      <c r="G3553" t="n">
        <v>0.2064417953253579</v>
      </c>
      <c r="H3553" t="n">
        <v>0.0093830753379816</v>
      </c>
      <c r="I3553" t="n">
        <v>0.7997522272424771</v>
      </c>
      <c r="J3553" t="n">
        <v>0.1417756123371326</v>
      </c>
      <c r="K3553" t="n">
        <v>0.1545704167458344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0.1348</v>
      </c>
      <c r="Q3553" t="n">
        <v>100</v>
      </c>
      <c r="R3553" t="n">
        <v>0.3625</v>
      </c>
      <c r="S3553">
        <f>IMAGE("https://mitra.stanford.edu/kundaje/oak/projects/neuro-variants/variant_position/credible/roussos_2024/variant_figures/roussos_2024.infant.GLU/rs1593657_count_position.png",4,220,900)</f>
        <v/>
      </c>
      <c r="T3553">
        <f>IMAGE("https://mitra.stanford.edu/kundaje/oak/projects/neuro-variants/variant_position/credible/roussos_2024/variant_figures/roussos_2024.infant.GLU/rs1593657_profile_position.png",4,220,900)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0.0555339854</v>
      </c>
      <c r="G3554" t="n">
        <v>0.1409205488868216</v>
      </c>
      <c r="H3554" t="n">
        <v>0.0153127905312004</v>
      </c>
      <c r="I3554" t="n">
        <v>0.3440545977395912</v>
      </c>
      <c r="J3554" t="n">
        <v>0.1175808549571198</v>
      </c>
      <c r="K3554" t="n">
        <v>0.1796227993645097</v>
      </c>
      <c r="L3554" t="b">
        <v>0</v>
      </c>
      <c r="M3554" t="b">
        <v>0</v>
      </c>
      <c r="N3554" t="inlineStr">
        <is>
          <t>alt</t>
        </is>
      </c>
      <c r="O3554" t="n">
        <v>-55</v>
      </c>
      <c r="P3554" t="n">
        <v>0.03333</v>
      </c>
      <c r="Q3554" t="n">
        <v>-65</v>
      </c>
      <c r="R3554" t="n">
        <v>0.0697</v>
      </c>
      <c r="S3554">
        <f>IMAGE("https://mitra.stanford.edu/kundaje/oak/projects/neuro-variants/variant_position/credible/roussos_2024/variant_figures/roussos_2024.infant.GLU/rs1346296_count_position.png",4,220,900)</f>
        <v/>
      </c>
      <c r="T3554">
        <f>IMAGE("https://mitra.stanford.edu/kundaje/oak/projects/neuro-variants/variant_position/credible/roussos_2024/variant_figures/roussos_2024.infant.GLU/rs1346296_profile_position.png",4,220,900)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-0.0196906509999999</v>
      </c>
      <c r="G3555" t="n">
        <v>0.4505796293728646</v>
      </c>
      <c r="H3555" t="n">
        <v>0.0400854813178127</v>
      </c>
      <c r="I3555" t="n">
        <v>0.02003812210522</v>
      </c>
      <c r="J3555" t="n">
        <v>0.1716384840935646</v>
      </c>
      <c r="K3555" t="n">
        <v>0.1279125556787157</v>
      </c>
      <c r="L3555" t="b">
        <v>0</v>
      </c>
      <c r="M3555" t="b">
        <v>0</v>
      </c>
      <c r="N3555" t="inlineStr">
        <is>
          <t>ref</t>
        </is>
      </c>
      <c r="O3555" t="n">
        <v>-5</v>
      </c>
      <c r="P3555" t="n">
        <v>0.003784</v>
      </c>
      <c r="Q3555" t="n">
        <v>-5</v>
      </c>
      <c r="R3555" t="n">
        <v>0.03613</v>
      </c>
      <c r="S3555">
        <f>IMAGE("https://mitra.stanford.edu/kundaje/oak/projects/neuro-variants/variant_position/credible/roussos_2024/variant_figures/roussos_2024.infant.GLU/rs6919658_count_position.png",4,220,900)</f>
        <v/>
      </c>
      <c r="T3555">
        <f>IMAGE("https://mitra.stanford.edu/kundaje/oak/projects/neuro-variants/variant_position/credible/roussos_2024/variant_figures/roussos_2024.infant.GLU/rs6919658_profile_position.png",4,220,900)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-0.2816891019999999</v>
      </c>
      <c r="G3556" t="n">
        <v>0.0037295924460493</v>
      </c>
      <c r="H3556" t="n">
        <v>0.0499846923462888</v>
      </c>
      <c r="I3556" t="n">
        <v>0.007818193325514601</v>
      </c>
      <c r="J3556" t="n">
        <v>0.0395412156352652</v>
      </c>
      <c r="K3556" t="n">
        <v>0.3895975141528439</v>
      </c>
      <c r="L3556" t="b">
        <v>1</v>
      </c>
      <c r="M3556" t="b">
        <v>1</v>
      </c>
      <c r="N3556" t="inlineStr">
        <is>
          <t>ref</t>
        </is>
      </c>
      <c r="O3556" t="n">
        <v>-100</v>
      </c>
      <c r="P3556" t="n">
        <v>0.00818</v>
      </c>
      <c r="Q3556" t="n">
        <v>-65</v>
      </c>
      <c r="R3556" t="n">
        <v>0.06322999999999999</v>
      </c>
      <c r="S3556">
        <f>IMAGE("https://mitra.stanford.edu/kundaje/oak/projects/neuro-variants/variant_position/credible/roussos_2024/variant_figures/roussos_2024.infant.GLU/rs142115373_count_position.png",4,220,900)</f>
        <v/>
      </c>
      <c r="T3556">
        <f>IMAGE("https://mitra.stanford.edu/kundaje/oak/projects/neuro-variants/variant_position/credible/roussos_2024/variant_figures/roussos_2024.infant.GLU/rs142115373_profile_position.png",4,220,900)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0.0282362061999999</v>
      </c>
      <c r="G3557" t="n">
        <v>0.3299236426933976</v>
      </c>
      <c r="H3557" t="n">
        <v>0.0418829672124222</v>
      </c>
      <c r="I3557" t="n">
        <v>0.0169623637166665</v>
      </c>
      <c r="J3557" t="n">
        <v>0.0056912630348993</v>
      </c>
      <c r="K3557" t="n">
        <v>0.7468661769927779</v>
      </c>
      <c r="L3557" t="b">
        <v>0</v>
      </c>
      <c r="M3557" t="b">
        <v>0</v>
      </c>
      <c r="N3557" t="inlineStr">
        <is>
          <t>alt</t>
        </is>
      </c>
      <c r="O3557" t="n">
        <v>95</v>
      </c>
      <c r="P3557" t="n">
        <v>0.010025</v>
      </c>
      <c r="Q3557" t="n">
        <v>-100</v>
      </c>
      <c r="R3557" t="n">
        <v>0.0413</v>
      </c>
      <c r="S3557">
        <f>IMAGE("https://mitra.stanford.edu/kundaje/oak/projects/neuro-variants/variant_position/credible/roussos_2024/variant_figures/roussos_2024.infant.GLU/rs139659029_count_position.png",4,220,900)</f>
        <v/>
      </c>
      <c r="T3557">
        <f>IMAGE("https://mitra.stanford.edu/kundaje/oak/projects/neuro-variants/variant_position/credible/roussos_2024/variant_figures/roussos_2024.infant.GLU/rs139659029_profile_position.png",4,220,900)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0.0237699701999999</v>
      </c>
      <c r="G3558" t="n">
        <v>0.3810854820709303</v>
      </c>
      <c r="H3558" t="n">
        <v>0.047024607219509</v>
      </c>
      <c r="I3558" t="n">
        <v>0.0100447998277534</v>
      </c>
      <c r="J3558" t="n">
        <v>0.0134174033819087</v>
      </c>
      <c r="K3558" t="n">
        <v>0.6056748103212435</v>
      </c>
      <c r="L3558" t="b">
        <v>1</v>
      </c>
      <c r="M3558" t="b">
        <v>0</v>
      </c>
      <c r="N3558" t="inlineStr">
        <is>
          <t>alt</t>
        </is>
      </c>
      <c r="O3558" t="n">
        <v>10</v>
      </c>
      <c r="P3558" t="n">
        <v>0.001831</v>
      </c>
      <c r="Q3558" t="n">
        <v>90</v>
      </c>
      <c r="R3558" t="n">
        <v>0.03522</v>
      </c>
      <c r="S3558">
        <f>IMAGE("https://mitra.stanford.edu/kundaje/oak/projects/neuro-variants/variant_position/credible/roussos_2024/variant_figures/roussos_2024.infant.GLU/rs648204_count_position.png",4,220,900)</f>
        <v/>
      </c>
      <c r="T3558">
        <f>IMAGE("https://mitra.stanford.edu/kundaje/oak/projects/neuro-variants/variant_position/credible/roussos_2024/variant_figures/roussos_2024.infant.GLU/rs648204_profile_position.png",4,220,900)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0.0155687719999999</v>
      </c>
      <c r="G3559" t="n">
        <v>0.5137055692868268</v>
      </c>
      <c r="H3559" t="n">
        <v>0.0421953071859921</v>
      </c>
      <c r="I3559" t="n">
        <v>0.0162991925387972</v>
      </c>
      <c r="J3559" t="n">
        <v>0.0245023038426772</v>
      </c>
      <c r="K3559" t="n">
        <v>0.4980006504804662</v>
      </c>
      <c r="L3559" t="b">
        <v>1</v>
      </c>
      <c r="M3559" t="b">
        <v>0</v>
      </c>
      <c r="N3559" t="inlineStr">
        <is>
          <t>alt</t>
        </is>
      </c>
      <c r="O3559" t="n">
        <v>-100</v>
      </c>
      <c r="P3559" t="n">
        <v>0.1103</v>
      </c>
      <c r="Q3559" t="n">
        <v>-100</v>
      </c>
      <c r="R3559" t="n">
        <v>0.1167</v>
      </c>
      <c r="S3559">
        <f>IMAGE("https://mitra.stanford.edu/kundaje/oak/projects/neuro-variants/variant_position/credible/roussos_2024/variant_figures/roussos_2024.infant.GLU/rs586541_count_position.png",4,220,900)</f>
        <v/>
      </c>
      <c r="T3559">
        <f>IMAGE("https://mitra.stanford.edu/kundaje/oak/projects/neuro-variants/variant_position/credible/roussos_2024/variant_figures/roussos_2024.infant.GLU/rs586541_profile_position.png",4,220,900)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0.1644238791999999</v>
      </c>
      <c r="G3560" t="n">
        <v>0.0192040867651874</v>
      </c>
      <c r="H3560" t="n">
        <v>0.0517531158878207</v>
      </c>
      <c r="I3560" t="n">
        <v>0.0066444898398377</v>
      </c>
      <c r="J3560" t="n">
        <v>0.277021098348729</v>
      </c>
      <c r="K3560" t="n">
        <v>0.0747203349049856</v>
      </c>
      <c r="L3560" t="b">
        <v>1</v>
      </c>
      <c r="M3560" t="b">
        <v>1</v>
      </c>
      <c r="N3560" t="inlineStr">
        <is>
          <t>alt</t>
        </is>
      </c>
      <c r="O3560" t="n">
        <v>90</v>
      </c>
      <c r="P3560" t="n">
        <v>0.02328</v>
      </c>
      <c r="Q3560" t="n">
        <v>100</v>
      </c>
      <c r="R3560" t="n">
        <v>0.08655</v>
      </c>
      <c r="S3560">
        <f>IMAGE("https://mitra.stanford.edu/kundaje/oak/projects/neuro-variants/variant_position/credible/roussos_2024/variant_figures/roussos_2024.infant.GLU/rs910025_count_position.png",4,220,900)</f>
        <v/>
      </c>
      <c r="T3560">
        <f>IMAGE("https://mitra.stanford.edu/kundaje/oak/projects/neuro-variants/variant_position/credible/roussos_2024/variant_figures/roussos_2024.infant.GLU/rs910025_profile_position.png",4,220,900)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0.1255224588</v>
      </c>
      <c r="G3561" t="n">
        <v>0.0321571045017807</v>
      </c>
      <c r="H3561" t="n">
        <v>0.0349512433952537</v>
      </c>
      <c r="I3561" t="n">
        <v>0.0339962518946052</v>
      </c>
      <c r="J3561" t="n">
        <v>0.3314943010207455</v>
      </c>
      <c r="K3561" t="n">
        <v>0.0604790173325101</v>
      </c>
      <c r="L3561" t="b">
        <v>0</v>
      </c>
      <c r="M3561" t="b">
        <v>0</v>
      </c>
      <c r="N3561" t="inlineStr">
        <is>
          <t>alt</t>
        </is>
      </c>
      <c r="O3561" t="n">
        <v>-95</v>
      </c>
      <c r="P3561" t="n">
        <v>0.1165</v>
      </c>
      <c r="Q3561" t="n">
        <v>-95</v>
      </c>
      <c r="R3561" t="n">
        <v>0.4321</v>
      </c>
      <c r="S3561">
        <f>IMAGE("https://mitra.stanford.edu/kundaje/oak/projects/neuro-variants/variant_position/credible/roussos_2024/variant_figures/roussos_2024.infant.GLU/rs474447_count_position.png",4,220,900)</f>
        <v/>
      </c>
      <c r="T3561">
        <f>IMAGE("https://mitra.stanford.edu/kundaje/oak/projects/neuro-variants/variant_position/credible/roussos_2024/variant_figures/roussos_2024.infant.GLU/rs474447_profile_position.png",4,220,900)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-0.0192124082</v>
      </c>
      <c r="G3562" t="n">
        <v>0.4601001476123585</v>
      </c>
      <c r="H3562" t="n">
        <v>0.0440985434255518</v>
      </c>
      <c r="I3562" t="n">
        <v>0.013625243754215</v>
      </c>
      <c r="J3562" t="n">
        <v>0.0138539209418196</v>
      </c>
      <c r="K3562" t="n">
        <v>0.6081268638299937</v>
      </c>
      <c r="L3562" t="b">
        <v>1</v>
      </c>
      <c r="M3562" t="b">
        <v>0</v>
      </c>
      <c r="N3562" t="inlineStr">
        <is>
          <t>ref</t>
        </is>
      </c>
      <c r="O3562" t="n">
        <v>-95</v>
      </c>
      <c r="P3562" t="n">
        <v>0.03375</v>
      </c>
      <c r="Q3562" t="n">
        <v>-95</v>
      </c>
      <c r="R3562" t="n">
        <v>0.04922</v>
      </c>
      <c r="S3562">
        <f>IMAGE("https://mitra.stanford.edu/kundaje/oak/projects/neuro-variants/variant_position/credible/roussos_2024/variant_figures/roussos_2024.infant.GLU/rs675629_count_position.png",4,220,900)</f>
        <v/>
      </c>
      <c r="T3562">
        <f>IMAGE("https://mitra.stanford.edu/kundaje/oak/projects/neuro-variants/variant_position/credible/roussos_2024/variant_figures/roussos_2024.infant.GLU/rs675629_profile_position.png",4,220,900)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-0.0331741666</v>
      </c>
      <c r="G3563" t="n">
        <v>0.2922588601322252</v>
      </c>
      <c r="H3563" t="n">
        <v>0.0395835906330674</v>
      </c>
      <c r="I3563" t="n">
        <v>0.0210039795663326</v>
      </c>
      <c r="J3563" t="n">
        <v>0.123715249454353</v>
      </c>
      <c r="K3563" t="n">
        <v>0.1773492217123125</v>
      </c>
      <c r="L3563" t="b">
        <v>0</v>
      </c>
      <c r="M3563" t="b">
        <v>0</v>
      </c>
      <c r="N3563" t="inlineStr">
        <is>
          <t>ref</t>
        </is>
      </c>
      <c r="O3563" t="n">
        <v>100</v>
      </c>
      <c r="P3563" t="n">
        <v>0.036</v>
      </c>
      <c r="Q3563" t="n">
        <v>95</v>
      </c>
      <c r="R3563" t="n">
        <v>0.4111</v>
      </c>
      <c r="S3563">
        <f>IMAGE("https://mitra.stanford.edu/kundaje/oak/projects/neuro-variants/variant_position/credible/roussos_2024/variant_figures/roussos_2024.infant.GLU/rs582112_count_position.png",4,220,900)</f>
        <v/>
      </c>
      <c r="T3563">
        <f>IMAGE("https://mitra.stanford.edu/kundaje/oak/projects/neuro-variants/variant_position/credible/roussos_2024/variant_figures/roussos_2024.infant.GLU/rs582112_profile_position.png",4,220,900)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0.0448007231999999</v>
      </c>
      <c r="G3564" t="n">
        <v>0.1901610164238106</v>
      </c>
      <c r="H3564" t="n">
        <v>0.0091596574314584</v>
      </c>
      <c r="I3564" t="n">
        <v>0.8069376539006486</v>
      </c>
      <c r="J3564" t="n">
        <v>0.0323011971163385</v>
      </c>
      <c r="K3564" t="n">
        <v>0.4383172951418383</v>
      </c>
      <c r="L3564" t="b">
        <v>0</v>
      </c>
      <c r="M3564" t="b">
        <v>0</v>
      </c>
      <c r="N3564" t="inlineStr">
        <is>
          <t>alt</t>
        </is>
      </c>
      <c r="O3564" t="n">
        <v>45</v>
      </c>
      <c r="P3564" t="n">
        <v>0.01272</v>
      </c>
      <c r="Q3564" t="n">
        <v>100</v>
      </c>
      <c r="R3564" t="n">
        <v>0.1257</v>
      </c>
      <c r="S3564">
        <f>IMAGE("https://mitra.stanford.edu/kundaje/oak/projects/neuro-variants/variant_position/credible/roussos_2024/variant_figures/roussos_2024.infant.GLU/rs595200_count_position.png",4,220,900)</f>
        <v/>
      </c>
      <c r="T3564">
        <f>IMAGE("https://mitra.stanford.edu/kundaje/oak/projects/neuro-variants/variant_position/credible/roussos_2024/variant_figures/roussos_2024.infant.GLU/rs595200_profile_position.png",4,220,900)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0.0156340527</v>
      </c>
      <c r="G3565" t="n">
        <v>0.5036541396067253</v>
      </c>
      <c r="H3565" t="n">
        <v>0.0400804550565008</v>
      </c>
      <c r="I3565" t="n">
        <v>0.0201466802737225</v>
      </c>
      <c r="J3565" t="n">
        <v>0.1387662867347163</v>
      </c>
      <c r="K3565" t="n">
        <v>0.1543981632801706</v>
      </c>
      <c r="L3565" t="b">
        <v>0</v>
      </c>
      <c r="M3565" t="b">
        <v>0</v>
      </c>
      <c r="N3565" t="inlineStr">
        <is>
          <t>alt</t>
        </is>
      </c>
      <c r="O3565" t="n">
        <v>-40</v>
      </c>
      <c r="P3565" t="n">
        <v>0.07623000000000001</v>
      </c>
      <c r="Q3565" t="n">
        <v>50</v>
      </c>
      <c r="R3565" t="n">
        <v>0.07965</v>
      </c>
      <c r="S3565">
        <f>IMAGE("https://mitra.stanford.edu/kundaje/oak/projects/neuro-variants/variant_position/credible/roussos_2024/variant_figures/roussos_2024.infant.GLU/rs17592255_count_position.png",4,220,900)</f>
        <v/>
      </c>
      <c r="T3565">
        <f>IMAGE("https://mitra.stanford.edu/kundaje/oak/projects/neuro-variants/variant_position/credible/roussos_2024/variant_figures/roussos_2024.infant.GLU/rs17592255_profile_position.png",4,220,900)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-0.005242358768</v>
      </c>
      <c r="G3566" t="n">
        <v>0.7823550066344833</v>
      </c>
      <c r="H3566" t="n">
        <v>0.0168458350047758</v>
      </c>
      <c r="I3566" t="n">
        <v>0.2766308754431184</v>
      </c>
      <c r="J3566" t="n">
        <v>0.008773341563967399</v>
      </c>
      <c r="K3566" t="n">
        <v>0.6828938678789225</v>
      </c>
      <c r="L3566" t="b">
        <v>0</v>
      </c>
      <c r="M3566" t="b">
        <v>0</v>
      </c>
      <c r="N3566" t="inlineStr">
        <is>
          <t>ref</t>
        </is>
      </c>
      <c r="O3566" t="n">
        <v>45</v>
      </c>
      <c r="P3566" t="n">
        <v>0.00628</v>
      </c>
      <c r="Q3566" t="n">
        <v>85</v>
      </c>
      <c r="R3566" t="n">
        <v>0.01239</v>
      </c>
      <c r="S3566">
        <f>IMAGE("https://mitra.stanford.edu/kundaje/oak/projects/neuro-variants/variant_position/credible/roussos_2024/variant_figures/roussos_2024.infant.GLU/rs6926151_count_position.png",4,220,900)</f>
        <v/>
      </c>
      <c r="T3566">
        <f>IMAGE("https://mitra.stanford.edu/kundaje/oak/projects/neuro-variants/variant_position/credible/roussos_2024/variant_figures/roussos_2024.infant.GLU/rs6926151_profile_position.png",4,220,900)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0.00306807088</v>
      </c>
      <c r="G3567" t="n">
        <v>0.589730337394191</v>
      </c>
      <c r="H3567" t="n">
        <v>0.0223050873176254</v>
      </c>
      <c r="I3567" t="n">
        <v>0.1386675581588648</v>
      </c>
      <c r="J3567" t="n">
        <v>0.0312892700456358</v>
      </c>
      <c r="K3567" t="n">
        <v>0.4391817416082239</v>
      </c>
      <c r="L3567" t="b">
        <v>0</v>
      </c>
      <c r="M3567" t="b">
        <v>0</v>
      </c>
      <c r="N3567" t="inlineStr">
        <is>
          <t>alt</t>
        </is>
      </c>
      <c r="O3567" t="n">
        <v>15</v>
      </c>
      <c r="P3567" t="n">
        <v>0.01337</v>
      </c>
      <c r="Q3567" t="n">
        <v>-100</v>
      </c>
      <c r="R3567" t="n">
        <v>0.06884999999999999</v>
      </c>
      <c r="S3567">
        <f>IMAGE("https://mitra.stanford.edu/kundaje/oak/projects/neuro-variants/variant_position/credible/roussos_2024/variant_figures/roussos_2024.infant.GLU/rs1933801_count_position.png",4,220,900)</f>
        <v/>
      </c>
      <c r="T3567">
        <f>IMAGE("https://mitra.stanford.edu/kundaje/oak/projects/neuro-variants/variant_position/credible/roussos_2024/variant_figures/roussos_2024.infant.GLU/rs1933801_profile_position.png",4,220,900)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-0.0741018048</v>
      </c>
      <c r="G3568" t="n">
        <v>0.0909356390229374</v>
      </c>
      <c r="H3568" t="n">
        <v>0.0174787343150844</v>
      </c>
      <c r="I3568" t="n">
        <v>0.2556745878664226</v>
      </c>
      <c r="J3568" t="n">
        <v>0.022076103970546</v>
      </c>
      <c r="K3568" t="n">
        <v>0.5149021692696852</v>
      </c>
      <c r="L3568" t="b">
        <v>0</v>
      </c>
      <c r="M3568" t="b">
        <v>0</v>
      </c>
      <c r="N3568" t="inlineStr">
        <is>
          <t>ref</t>
        </is>
      </c>
      <c r="O3568" t="n">
        <v>-65</v>
      </c>
      <c r="P3568" t="n">
        <v>0.0219</v>
      </c>
      <c r="Q3568" t="n">
        <v>100</v>
      </c>
      <c r="R3568" t="n">
        <v>0.1122</v>
      </c>
      <c r="S3568">
        <f>IMAGE("https://mitra.stanford.edu/kundaje/oak/projects/neuro-variants/variant_position/credible/roussos_2024/variant_figures/roussos_2024.infant.GLU/rs9391254_count_position.png",4,220,900)</f>
        <v/>
      </c>
      <c r="T3568">
        <f>IMAGE("https://mitra.stanford.edu/kundaje/oak/projects/neuro-variants/variant_position/credible/roussos_2024/variant_figures/roussos_2024.infant.GLU/rs9391254_profile_position.png",4,220,900)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-0.0585582618</v>
      </c>
      <c r="G3569" t="n">
        <v>0.1384281796852257</v>
      </c>
      <c r="H3569" t="n">
        <v>0.0189872693631851</v>
      </c>
      <c r="I3569" t="n">
        <v>0.2148103438906049</v>
      </c>
      <c r="J3569" t="n">
        <v>0.3981216517118984</v>
      </c>
      <c r="K3569" t="n">
        <v>0.0464077916830837</v>
      </c>
      <c r="L3569" t="b">
        <v>0</v>
      </c>
      <c r="M3569" t="b">
        <v>0</v>
      </c>
      <c r="N3569" t="inlineStr">
        <is>
          <t>ref</t>
        </is>
      </c>
      <c r="O3569" t="n">
        <v>-70</v>
      </c>
      <c r="P3569" t="n">
        <v>0.03998</v>
      </c>
      <c r="Q3569" t="n">
        <v>-70</v>
      </c>
      <c r="R3569" t="n">
        <v>0.1423</v>
      </c>
      <c r="S3569">
        <f>IMAGE("https://mitra.stanford.edu/kundaje/oak/projects/neuro-variants/variant_position/credible/roussos_2024/variant_figures/roussos_2024.infant.GLU/rs7759938_count_position.png",4,220,900)</f>
        <v/>
      </c>
      <c r="T3569">
        <f>IMAGE("https://mitra.stanford.edu/kundaje/oak/projects/neuro-variants/variant_position/credible/roussos_2024/variant_figures/roussos_2024.infant.GLU/rs7759938_profile_position.png",4,220,900)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-0.00430091763</v>
      </c>
      <c r="G3570" t="n">
        <v>0.7458232832719025</v>
      </c>
      <c r="H3570" t="n">
        <v>0.0074046402701056</v>
      </c>
      <c r="I3570" t="n">
        <v>0.94720159368213</v>
      </c>
      <c r="J3570" t="n">
        <v>0.0603243016821357</v>
      </c>
      <c r="K3570" t="n">
        <v>0.3080632837747946</v>
      </c>
      <c r="L3570" t="b">
        <v>0</v>
      </c>
      <c r="M3570" t="b">
        <v>0</v>
      </c>
      <c r="N3570" t="inlineStr">
        <is>
          <t>ref</t>
        </is>
      </c>
      <c r="O3570" t="n">
        <v>-90</v>
      </c>
      <c r="P3570" t="n">
        <v>0.06370000000000001</v>
      </c>
      <c r="Q3570" t="n">
        <v>-90</v>
      </c>
      <c r="R3570" t="n">
        <v>0.1738</v>
      </c>
      <c r="S3570">
        <f>IMAGE("https://mitra.stanford.edu/kundaje/oak/projects/neuro-variants/variant_position/credible/roussos_2024/variant_figures/roussos_2024.infant.GLU/rs314265_count_position.png",4,220,900)</f>
        <v/>
      </c>
      <c r="T3570">
        <f>IMAGE("https://mitra.stanford.edu/kundaje/oak/projects/neuro-variants/variant_position/credible/roussos_2024/variant_figures/roussos_2024.infant.GLU/rs314265_profile_position.png",4,220,900)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-0.004933962328</v>
      </c>
      <c r="G3571" t="n">
        <v>0.7873256588362767</v>
      </c>
      <c r="H3571" t="n">
        <v>0.0302967702000879</v>
      </c>
      <c r="I3571" t="n">
        <v>0.0560336235882101</v>
      </c>
      <c r="J3571" t="n">
        <v>0.1036442602350139</v>
      </c>
      <c r="K3571" t="n">
        <v>0.2148073748165578</v>
      </c>
      <c r="L3571" t="b">
        <v>0</v>
      </c>
      <c r="M3571" t="b">
        <v>0</v>
      </c>
      <c r="N3571" t="inlineStr">
        <is>
          <t>ref</t>
        </is>
      </c>
      <c r="O3571" t="n">
        <v>100</v>
      </c>
      <c r="P3571" t="n">
        <v>0.09143</v>
      </c>
      <c r="Q3571" t="n">
        <v>-100</v>
      </c>
      <c r="R3571" t="n">
        <v>0.1588</v>
      </c>
      <c r="S3571">
        <f>IMAGE("https://mitra.stanford.edu/kundaje/oak/projects/neuro-variants/variant_position/credible/roussos_2024/variant_figures/roussos_2024.infant.GLU/rs314275_count_position.png",4,220,900)</f>
        <v/>
      </c>
      <c r="T3571">
        <f>IMAGE("https://mitra.stanford.edu/kundaje/oak/projects/neuro-variants/variant_position/credible/roussos_2024/variant_figures/roussos_2024.infant.GLU/rs314275_profile_position.png",4,220,900)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0.0208315889</v>
      </c>
      <c r="G3572" t="n">
        <v>0.4252556354548438</v>
      </c>
      <c r="H3572" t="n">
        <v>0.011345093750759</v>
      </c>
      <c r="I3572" t="n">
        <v>0.6136131855812454</v>
      </c>
      <c r="J3572" t="n">
        <v>0.047768910249344</v>
      </c>
      <c r="K3572" t="n">
        <v>0.3515312590153928</v>
      </c>
      <c r="L3572" t="b">
        <v>0</v>
      </c>
      <c r="M3572" t="b">
        <v>0</v>
      </c>
      <c r="N3572" t="inlineStr">
        <is>
          <t>alt</t>
        </is>
      </c>
      <c r="O3572" t="n">
        <v>-90</v>
      </c>
      <c r="P3572" t="n">
        <v>0.03958</v>
      </c>
      <c r="Q3572" t="n">
        <v>55</v>
      </c>
      <c r="R3572" t="n">
        <v>0.144</v>
      </c>
      <c r="S3572">
        <f>IMAGE("https://mitra.stanford.edu/kundaje/oak/projects/neuro-variants/variant_position/credible/roussos_2024/variant_figures/roussos_2024.infant.GLU/rs314261_count_position.png",4,220,900)</f>
        <v/>
      </c>
      <c r="T3572">
        <f>IMAGE("https://mitra.stanford.edu/kundaje/oak/projects/neuro-variants/variant_position/credible/roussos_2024/variant_figures/roussos_2024.infant.GLU/rs314261_profile_position.png",4,220,900)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0.0461580002</v>
      </c>
      <c r="G3573" t="n">
        <v>0.1879264766796468</v>
      </c>
      <c r="H3573" t="n">
        <v>0.0473791331863256</v>
      </c>
      <c r="I3573" t="n">
        <v>0.009920609213017999</v>
      </c>
      <c r="J3573" t="n">
        <v>0.105183094865407</v>
      </c>
      <c r="K3573" t="n">
        <v>0.2003965819143732</v>
      </c>
      <c r="L3573" t="b">
        <v>1</v>
      </c>
      <c r="M3573" t="b">
        <v>1</v>
      </c>
      <c r="N3573" t="inlineStr">
        <is>
          <t>alt</t>
        </is>
      </c>
      <c r="O3573" t="n">
        <v>95</v>
      </c>
      <c r="P3573" t="n">
        <v>0.008789999999999999</v>
      </c>
      <c r="Q3573" t="n">
        <v>70</v>
      </c>
      <c r="R3573" t="n">
        <v>0.04016</v>
      </c>
      <c r="S3573">
        <f>IMAGE("https://mitra.stanford.edu/kundaje/oak/projects/neuro-variants/variant_position/credible/roussos_2024/variant_figures/roussos_2024.infant.GLU/rs314260_count_position.png",4,220,900)</f>
        <v/>
      </c>
      <c r="T3573">
        <f>IMAGE("https://mitra.stanford.edu/kundaje/oak/projects/neuro-variants/variant_position/credible/roussos_2024/variant_figures/roussos_2024.infant.GLU/rs314260_profile_position.png",4,220,900)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-0.020888714</v>
      </c>
      <c r="G3574" t="n">
        <v>0.4416740252009399</v>
      </c>
      <c r="H3574" t="n">
        <v>0.0200734193535667</v>
      </c>
      <c r="I3574" t="n">
        <v>0.1822715881046429</v>
      </c>
      <c r="J3574" t="n">
        <v>0.0054388324257588</v>
      </c>
      <c r="K3574" t="n">
        <v>0.7476297874744489</v>
      </c>
      <c r="L3574" t="b">
        <v>0</v>
      </c>
      <c r="M3574" t="b">
        <v>0</v>
      </c>
      <c r="N3574" t="inlineStr">
        <is>
          <t>ref</t>
        </is>
      </c>
      <c r="O3574" t="n">
        <v>-95</v>
      </c>
      <c r="P3574" t="n">
        <v>0.0718</v>
      </c>
      <c r="Q3574" t="n">
        <v>-100</v>
      </c>
      <c r="R3574" t="n">
        <v>0.128</v>
      </c>
      <c r="S3574">
        <f>IMAGE("https://mitra.stanford.edu/kundaje/oak/projects/neuro-variants/variant_position/credible/roussos_2024/variant_figures/roussos_2024.infant.GLU/rs191135_count_position.png",4,220,900)</f>
        <v/>
      </c>
      <c r="T3574">
        <f>IMAGE("https://mitra.stanford.edu/kundaje/oak/projects/neuro-variants/variant_position/credible/roussos_2024/variant_figures/roussos_2024.infant.GLU/rs191135_profile_position.png",4,220,900)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-0.150987132</v>
      </c>
      <c r="G3575" t="n">
        <v>0.020420695430102</v>
      </c>
      <c r="H3575" t="n">
        <v>0.0410626598949998</v>
      </c>
      <c r="I3575" t="n">
        <v>0.0180346528490941</v>
      </c>
      <c r="J3575" t="n">
        <v>0.0332712361383627</v>
      </c>
      <c r="K3575" t="n">
        <v>0.4309452051447094</v>
      </c>
      <c r="L3575" t="b">
        <v>1</v>
      </c>
      <c r="M3575" t="b">
        <v>0</v>
      </c>
      <c r="N3575" t="inlineStr">
        <is>
          <t>ref</t>
        </is>
      </c>
      <c r="O3575" t="n">
        <v>100</v>
      </c>
      <c r="P3575" t="n">
        <v>0.007294</v>
      </c>
      <c r="Q3575" t="n">
        <v>-60</v>
      </c>
      <c r="R3575" t="n">
        <v>0.08746</v>
      </c>
      <c r="S3575">
        <f>IMAGE("https://mitra.stanford.edu/kundaje/oak/projects/neuro-variants/variant_position/credible/roussos_2024/variant_figures/roussos_2024.infant.GLU/rs6909292_count_position.png",4,220,900)</f>
        <v/>
      </c>
      <c r="T3575">
        <f>IMAGE("https://mitra.stanford.edu/kundaje/oak/projects/neuro-variants/variant_position/credible/roussos_2024/variant_figures/roussos_2024.infant.GLU/rs6909292_profile_position.png",4,220,900)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-0.00409127612</v>
      </c>
      <c r="G3576" t="n">
        <v>0.7606758903871927</v>
      </c>
      <c r="H3576" t="n">
        <v>0.0067868536889308</v>
      </c>
      <c r="I3576" t="n">
        <v>0.9572839291576344</v>
      </c>
      <c r="J3576" t="n">
        <v>0.0250446438413544</v>
      </c>
      <c r="K3576" t="n">
        <v>0.4872309665962684</v>
      </c>
      <c r="L3576" t="b">
        <v>0</v>
      </c>
      <c r="M3576" t="b">
        <v>0</v>
      </c>
      <c r="N3576" t="inlineStr">
        <is>
          <t>ref</t>
        </is>
      </c>
      <c r="O3576" t="n">
        <v>55</v>
      </c>
      <c r="P3576" t="n">
        <v>0.003357</v>
      </c>
      <c r="Q3576" t="n">
        <v>-95</v>
      </c>
      <c r="R3576" t="n">
        <v>0.1833</v>
      </c>
      <c r="S3576">
        <f>IMAGE("https://mitra.stanford.edu/kundaje/oak/projects/neuro-variants/variant_position/credible/roussos_2024/variant_figures/roussos_2024.infant.GLU/rs7741285_count_position.png",4,220,900)</f>
        <v/>
      </c>
      <c r="T3576">
        <f>IMAGE("https://mitra.stanford.edu/kundaje/oak/projects/neuro-variants/variant_position/credible/roussos_2024/variant_figures/roussos_2024.infant.GLU/rs7741285_profile_position.png",4,220,900)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-0.0534612951999999</v>
      </c>
      <c r="G3577" t="n">
        <v>0.1636354746760634</v>
      </c>
      <c r="H3577" t="n">
        <v>0.0147804325169544</v>
      </c>
      <c r="I3577" t="n">
        <v>0.3747062410268286</v>
      </c>
      <c r="J3577" t="n">
        <v>0.0023821071893119</v>
      </c>
      <c r="K3577" t="n">
        <v>0.8383690307660533</v>
      </c>
      <c r="L3577" t="b">
        <v>0</v>
      </c>
      <c r="M3577" t="b">
        <v>0</v>
      </c>
      <c r="N3577" t="inlineStr">
        <is>
          <t>ref</t>
        </is>
      </c>
      <c r="O3577" t="n">
        <v>-50</v>
      </c>
      <c r="P3577" t="n">
        <v>0.0332</v>
      </c>
      <c r="Q3577" t="n">
        <v>-35</v>
      </c>
      <c r="R3577" t="n">
        <v>0.04437</v>
      </c>
      <c r="S3577">
        <f>IMAGE("https://mitra.stanford.edu/kundaje/oak/projects/neuro-variants/variant_position/credible/roussos_2024/variant_figures/roussos_2024.infant.GLU/rs9400146_count_position.png",4,220,900)</f>
        <v/>
      </c>
      <c r="T3577">
        <f>IMAGE("https://mitra.stanford.edu/kundaje/oak/projects/neuro-variants/variant_position/credible/roussos_2024/variant_figures/roussos_2024.infant.GLU/rs9400146_profile_position.png",4,220,900)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-0.049680343</v>
      </c>
      <c r="G3578" t="n">
        <v>0.1852317813865107</v>
      </c>
      <c r="H3578" t="n">
        <v>0.010194095343799</v>
      </c>
      <c r="I3578" t="n">
        <v>0.7204723253601045</v>
      </c>
      <c r="J3578" t="n">
        <v>0.1589419960757511</v>
      </c>
      <c r="K3578" t="n">
        <v>0.1386405083323433</v>
      </c>
      <c r="L3578" t="b">
        <v>0</v>
      </c>
      <c r="M3578" t="b">
        <v>0</v>
      </c>
      <c r="N3578" t="inlineStr">
        <is>
          <t>ref</t>
        </is>
      </c>
      <c r="O3578" t="n">
        <v>-80</v>
      </c>
      <c r="P3578" t="n">
        <v>0.002365</v>
      </c>
      <c r="Q3578" t="n">
        <v>85</v>
      </c>
      <c r="R3578" t="n">
        <v>0.12427</v>
      </c>
      <c r="S3578">
        <f>IMAGE("https://mitra.stanford.edu/kundaje/oak/projects/neuro-variants/variant_position/credible/roussos_2024/variant_figures/roussos_2024.infant.GLU/rs75971958_count_position.png",4,220,900)</f>
        <v/>
      </c>
      <c r="T3578">
        <f>IMAGE("https://mitra.stanford.edu/kundaje/oak/projects/neuro-variants/variant_position/credible/roussos_2024/variant_figures/roussos_2024.infant.GLU/rs75971958_profile_position.png",4,220,900)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-0.017818937</v>
      </c>
      <c r="G3579" t="n">
        <v>0.4772616767618866</v>
      </c>
      <c r="H3579" t="n">
        <v>0.0427268672145006</v>
      </c>
      <c r="I3579" t="n">
        <v>0.0154683649474174</v>
      </c>
      <c r="J3579" t="n">
        <v>0.0058235410833571</v>
      </c>
      <c r="K3579" t="n">
        <v>0.7292742242657483</v>
      </c>
      <c r="L3579" t="b">
        <v>0</v>
      </c>
      <c r="M3579" t="b">
        <v>0</v>
      </c>
      <c r="N3579" t="inlineStr">
        <is>
          <t>ref</t>
        </is>
      </c>
      <c r="O3579" t="n">
        <v>-55</v>
      </c>
      <c r="P3579" t="n">
        <v>0.004272</v>
      </c>
      <c r="Q3579" t="n">
        <v>-45</v>
      </c>
      <c r="R3579" t="n">
        <v>0.04105</v>
      </c>
      <c r="S3579">
        <f>IMAGE("https://mitra.stanford.edu/kundaje/oak/projects/neuro-variants/variant_position/credible/roussos_2024/variant_figures/roussos_2024.infant.GLU/rs75280747_count_position.png",4,220,900)</f>
        <v/>
      </c>
      <c r="T3579">
        <f>IMAGE("https://mitra.stanford.edu/kundaje/oak/projects/neuro-variants/variant_position/credible/roussos_2024/variant_figures/roussos_2024.infant.GLU/rs75280747_profile_position.png",4,220,900)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0.0233229648</v>
      </c>
      <c r="G3580" t="n">
        <v>0.3867469620351689</v>
      </c>
      <c r="H3580" t="n">
        <v>0.0099199702913851</v>
      </c>
      <c r="I3580" t="n">
        <v>0.7474142833577095</v>
      </c>
      <c r="J3580" t="n">
        <v>0.0037059899909609</v>
      </c>
      <c r="K3580" t="n">
        <v>0.7899966779295066</v>
      </c>
      <c r="L3580" t="b">
        <v>0</v>
      </c>
      <c r="M3580" t="b">
        <v>0</v>
      </c>
      <c r="N3580" t="inlineStr">
        <is>
          <t>alt</t>
        </is>
      </c>
      <c r="O3580" t="n">
        <v>95</v>
      </c>
      <c r="P3580" t="n">
        <v>0.005913</v>
      </c>
      <c r="Q3580" t="n">
        <v>-75</v>
      </c>
      <c r="R3580" t="n">
        <v>0.036</v>
      </c>
      <c r="S3580">
        <f>IMAGE("https://mitra.stanford.edu/kundaje/oak/projects/neuro-variants/variant_position/credible/roussos_2024/variant_figures/roussos_2024.infant.GLU/rs9386678_count_position.png",4,220,900)</f>
        <v/>
      </c>
      <c r="T3580">
        <f>IMAGE("https://mitra.stanford.edu/kundaje/oak/projects/neuro-variants/variant_position/credible/roussos_2024/variant_figures/roussos_2024.infant.GLU/rs9386678_profile_position.png",4,220,900)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0.0039825422</v>
      </c>
      <c r="G3581" t="n">
        <v>0.7107807309167298</v>
      </c>
      <c r="H3581" t="n">
        <v>0.0308711713643241</v>
      </c>
      <c r="I3581" t="n">
        <v>0.0524838921023242</v>
      </c>
      <c r="J3581" t="n">
        <v>0.004042196697458</v>
      </c>
      <c r="K3581" t="n">
        <v>0.773701488256081</v>
      </c>
      <c r="L3581" t="b">
        <v>0</v>
      </c>
      <c r="M3581" t="b">
        <v>0</v>
      </c>
      <c r="N3581" t="inlineStr">
        <is>
          <t>alt</t>
        </is>
      </c>
      <c r="O3581" t="n">
        <v>100</v>
      </c>
      <c r="P3581" t="n">
        <v>0.03992</v>
      </c>
      <c r="Q3581" t="n">
        <v>100</v>
      </c>
      <c r="R3581" t="n">
        <v>0.1924</v>
      </c>
      <c r="S3581">
        <f>IMAGE("https://mitra.stanford.edu/kundaje/oak/projects/neuro-variants/variant_position/credible/roussos_2024/variant_figures/roussos_2024.infant.GLU/rs2355851_count_position.png",4,220,900)</f>
        <v/>
      </c>
      <c r="T3581">
        <f>IMAGE("https://mitra.stanford.edu/kundaje/oak/projects/neuro-variants/variant_position/credible/roussos_2024/variant_figures/roussos_2024.infant.GLU/rs2355851_profile_position.png",4,220,900)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-0.00148265016</v>
      </c>
      <c r="G3582" t="n">
        <v>0.5192755565899254</v>
      </c>
      <c r="H3582" t="n">
        <v>0.0098242301866951</v>
      </c>
      <c r="I3582" t="n">
        <v>0.7447410732639625</v>
      </c>
      <c r="J3582" t="n">
        <v>0.0789766088317643</v>
      </c>
      <c r="K3582" t="n">
        <v>0.255436623404752</v>
      </c>
      <c r="L3582" t="b">
        <v>0</v>
      </c>
      <c r="M3582" t="b">
        <v>0</v>
      </c>
      <c r="N3582" t="inlineStr">
        <is>
          <t>ref</t>
        </is>
      </c>
      <c r="O3582" t="n">
        <v>60</v>
      </c>
      <c r="P3582" t="n">
        <v>0.009690000000000001</v>
      </c>
      <c r="Q3582" t="n">
        <v>40</v>
      </c>
      <c r="R3582" t="n">
        <v>0.04413</v>
      </c>
      <c r="S3582">
        <f>IMAGE("https://mitra.stanford.edu/kundaje/oak/projects/neuro-variants/variant_position/credible/roussos_2024/variant_figures/roussos_2024.infant.GLU/rs7762665_count_position.png",4,220,900)</f>
        <v/>
      </c>
      <c r="T3582">
        <f>IMAGE("https://mitra.stanford.edu/kundaje/oak/projects/neuro-variants/variant_position/credible/roussos_2024/variant_figures/roussos_2024.infant.GLU/rs7762665_profile_position.png",4,220,900)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-0.0290474862</v>
      </c>
      <c r="G3583" t="n">
        <v>0.3408359100596584</v>
      </c>
      <c r="H3583" t="n">
        <v>0.0205980476079512</v>
      </c>
      <c r="I3583" t="n">
        <v>0.185110875400977</v>
      </c>
      <c r="J3583" t="n">
        <v>0.1761127890826516</v>
      </c>
      <c r="K3583" t="n">
        <v>0.1240459434289158</v>
      </c>
      <c r="L3583" t="b">
        <v>0</v>
      </c>
      <c r="M3583" t="b">
        <v>0</v>
      </c>
      <c r="N3583" t="inlineStr">
        <is>
          <t>ref</t>
        </is>
      </c>
      <c r="O3583" t="n">
        <v>-10</v>
      </c>
      <c r="P3583" t="n">
        <v>0.001862</v>
      </c>
      <c r="Q3583" t="n">
        <v>90</v>
      </c>
      <c r="R3583" t="n">
        <v>0.1465</v>
      </c>
      <c r="S3583">
        <f>IMAGE("https://mitra.stanford.edu/kundaje/oak/projects/neuro-variants/variant_position/credible/roussos_2024/variant_figures/roussos_2024.infant.GLU/rs6568544_count_position.png",4,220,900)</f>
        <v/>
      </c>
      <c r="T3583">
        <f>IMAGE("https://mitra.stanford.edu/kundaje/oak/projects/neuro-variants/variant_position/credible/roussos_2024/variant_figures/roussos_2024.infant.GLU/rs6568544_profile_position.png",4,220,900)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0.0424958523399999</v>
      </c>
      <c r="G3584" t="n">
        <v>0.227637653440993</v>
      </c>
      <c r="H3584" t="n">
        <v>0.0117572371889537</v>
      </c>
      <c r="I3584" t="n">
        <v>0.5810733231540379</v>
      </c>
      <c r="J3584" t="n">
        <v>0.0935481381864679</v>
      </c>
      <c r="K3584" t="n">
        <v>0.2171609430814585</v>
      </c>
      <c r="L3584" t="b">
        <v>0</v>
      </c>
      <c r="M3584" t="b">
        <v>0</v>
      </c>
      <c r="N3584" t="inlineStr">
        <is>
          <t>alt</t>
        </is>
      </c>
      <c r="O3584" t="n">
        <v>65</v>
      </c>
      <c r="P3584" t="n">
        <v>0.0379</v>
      </c>
      <c r="Q3584" t="n">
        <v>70</v>
      </c>
      <c r="R3584" t="n">
        <v>0.012695</v>
      </c>
      <c r="S3584">
        <f>IMAGE("https://mitra.stanford.edu/kundaje/oak/projects/neuro-variants/variant_position/credible/roussos_2024/variant_figures/roussos_2024.infant.GLU/rs78061564_count_position.png",4,220,900)</f>
        <v/>
      </c>
      <c r="T3584">
        <f>IMAGE("https://mitra.stanford.edu/kundaje/oak/projects/neuro-variants/variant_position/credible/roussos_2024/variant_figures/roussos_2024.infant.GLU/rs78061564_profile_position.png",4,220,900)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-0.1212949899999999</v>
      </c>
      <c r="G3585" t="n">
        <v>0.0335064167459426</v>
      </c>
      <c r="H3585" t="n">
        <v>0.015619913135038</v>
      </c>
      <c r="I3585" t="n">
        <v>0.3307514057584544</v>
      </c>
      <c r="J3585" t="n">
        <v>0.0201536629996251</v>
      </c>
      <c r="K3585" t="n">
        <v>0.539364558458274</v>
      </c>
      <c r="L3585" t="b">
        <v>0</v>
      </c>
      <c r="M3585" t="b">
        <v>0</v>
      </c>
      <c r="N3585" t="inlineStr">
        <is>
          <t>ref</t>
        </is>
      </c>
      <c r="O3585" t="n">
        <v>-25</v>
      </c>
      <c r="P3585" t="n">
        <v>0.00525</v>
      </c>
      <c r="Q3585" t="n">
        <v>25</v>
      </c>
      <c r="R3585" t="n">
        <v>0.095</v>
      </c>
      <c r="S3585">
        <f>IMAGE("https://mitra.stanford.edu/kundaje/oak/projects/neuro-variants/variant_position/credible/roussos_2024/variant_figures/roussos_2024.infant.GLU/rs9398172_count_position.png",4,220,900)</f>
        <v/>
      </c>
      <c r="T3585">
        <f>IMAGE("https://mitra.stanford.edu/kundaje/oak/projects/neuro-variants/variant_position/credible/roussos_2024/variant_figures/roussos_2024.infant.GLU/rs9398172_profile_position.png",4,220,900)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0.226747684</v>
      </c>
      <c r="G3586" t="n">
        <v>0.0072592088286043</v>
      </c>
      <c r="H3586" t="n">
        <v>0.0380169025546438</v>
      </c>
      <c r="I3586" t="n">
        <v>0.0250550459933029</v>
      </c>
      <c r="J3586" t="n">
        <v>0.1621883198483211</v>
      </c>
      <c r="K3586" t="n">
        <v>0.1361166955930245</v>
      </c>
      <c r="L3586" t="b">
        <v>1</v>
      </c>
      <c r="M3586" t="b">
        <v>1</v>
      </c>
      <c r="N3586" t="inlineStr">
        <is>
          <t>alt</t>
        </is>
      </c>
      <c r="O3586" t="n">
        <v>45</v>
      </c>
      <c r="P3586" t="n">
        <v>0.005737</v>
      </c>
      <c r="Q3586" t="n">
        <v>35</v>
      </c>
      <c r="R3586" t="n">
        <v>0.011475</v>
      </c>
      <c r="S3586">
        <f>IMAGE("https://mitra.stanford.edu/kundaje/oak/projects/neuro-variants/variant_position/credible/roussos_2024/variant_figures/roussos_2024.infant.GLU/rs3800228_count_position.png",4,220,900)</f>
        <v/>
      </c>
      <c r="T3586">
        <f>IMAGE("https://mitra.stanford.edu/kundaje/oak/projects/neuro-variants/variant_position/credible/roussos_2024/variant_figures/roussos_2024.infant.GLU/rs3800228_profile_position.png",4,220,900)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-0.004864874877</v>
      </c>
      <c r="G3587" t="n">
        <v>0.7975689878768515</v>
      </c>
      <c r="H3587" t="n">
        <v>0.0159653232087648</v>
      </c>
      <c r="I3587" t="n">
        <v>0.3171891079900878</v>
      </c>
      <c r="J3587" t="n">
        <v>0.1012709715822659</v>
      </c>
      <c r="K3587" t="n">
        <v>0.207981474138552</v>
      </c>
      <c r="L3587" t="b">
        <v>0</v>
      </c>
      <c r="M3587" t="b">
        <v>0</v>
      </c>
      <c r="N3587" t="inlineStr">
        <is>
          <t>ref</t>
        </is>
      </c>
      <c r="O3587" t="n">
        <v>80</v>
      </c>
      <c r="P3587" t="n">
        <v>0.10284</v>
      </c>
      <c r="Q3587" t="n">
        <v>-85</v>
      </c>
      <c r="R3587" t="n">
        <v>0.1814</v>
      </c>
      <c r="S3587">
        <f>IMAGE("https://mitra.stanford.edu/kundaje/oak/projects/neuro-variants/variant_position/credible/roussos_2024/variant_figures/roussos_2024.infant.GLU/rs9374040_count_position.png",4,220,900)</f>
        <v/>
      </c>
      <c r="T3587">
        <f>IMAGE("https://mitra.stanford.edu/kundaje/oak/projects/neuro-variants/variant_position/credible/roussos_2024/variant_figures/roussos_2024.infant.GLU/rs9374040_profile_position.png",4,220,900)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0.00234982938</v>
      </c>
      <c r="G3588" t="n">
        <v>0.791016834687352</v>
      </c>
      <c r="H3588" t="n">
        <v>0.0346173203104994</v>
      </c>
      <c r="I3588" t="n">
        <v>0.0353351494802141</v>
      </c>
      <c r="J3588" t="n">
        <v>0.09714940805573299</v>
      </c>
      <c r="K3588" t="n">
        <v>0.2127408445218034</v>
      </c>
      <c r="L3588" t="b">
        <v>0</v>
      </c>
      <c r="M3588" t="b">
        <v>0</v>
      </c>
      <c r="N3588" t="inlineStr">
        <is>
          <t>alt</t>
        </is>
      </c>
      <c r="O3588" t="n">
        <v>-15</v>
      </c>
      <c r="P3588" t="n">
        <v>0.001953</v>
      </c>
      <c r="Q3588" t="n">
        <v>75</v>
      </c>
      <c r="R3588" t="n">
        <v>0.03717</v>
      </c>
      <c r="S3588">
        <f>IMAGE("https://mitra.stanford.edu/kundaje/oak/projects/neuro-variants/variant_position/credible/roussos_2024/variant_figures/roussos_2024.infant.GLU/rs9400240_count_position.png",4,220,900)</f>
        <v/>
      </c>
      <c r="T3588">
        <f>IMAGE("https://mitra.stanford.edu/kundaje/oak/projects/neuro-variants/variant_position/credible/roussos_2024/variant_figures/roussos_2024.infant.GLU/rs9400240_profile_position.png",4,220,900)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0.0309265422</v>
      </c>
      <c r="G3589" t="n">
        <v>0.1951458545999883</v>
      </c>
      <c r="H3589" t="n">
        <v>0.0147647071831082</v>
      </c>
      <c r="I3589" t="n">
        <v>0.3742030797829266</v>
      </c>
      <c r="J3589" t="n">
        <v>0.07154148019136219</v>
      </c>
      <c r="K3589" t="n">
        <v>0.2662563412964021</v>
      </c>
      <c r="L3589" t="b">
        <v>0</v>
      </c>
      <c r="M3589" t="b">
        <v>0</v>
      </c>
      <c r="N3589" t="inlineStr">
        <is>
          <t>alt</t>
        </is>
      </c>
      <c r="O3589" t="n">
        <v>-100</v>
      </c>
      <c r="P3589" t="n">
        <v>0.02545</v>
      </c>
      <c r="Q3589" t="n">
        <v>-5</v>
      </c>
      <c r="R3589" t="n">
        <v>0.02344</v>
      </c>
      <c r="S3589">
        <f>IMAGE("https://mitra.stanford.edu/kundaje/oak/projects/neuro-variants/variant_position/credible/roussos_2024/variant_figures/roussos_2024.infant.GLU/rs3800231_count_position.png",4,220,900)</f>
        <v/>
      </c>
      <c r="T3589">
        <f>IMAGE("https://mitra.stanford.edu/kundaje/oak/projects/neuro-variants/variant_position/credible/roussos_2024/variant_figures/roussos_2024.infant.GLU/rs3800231_profile_position.png",4,220,900)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-0.0006606481999999</v>
      </c>
      <c r="G3590" t="n">
        <v>0.4037775565102742</v>
      </c>
      <c r="H3590" t="n">
        <v>0.009932024171762401</v>
      </c>
      <c r="I3590" t="n">
        <v>0.7465609592790372</v>
      </c>
      <c r="J3590" t="n">
        <v>0.0190359134901562</v>
      </c>
      <c r="K3590" t="n">
        <v>0.5455819490797993</v>
      </c>
      <c r="L3590" t="b">
        <v>0</v>
      </c>
      <c r="M3590" t="b">
        <v>0</v>
      </c>
      <c r="N3590" t="inlineStr">
        <is>
          <t>ref</t>
        </is>
      </c>
      <c r="O3590" t="n">
        <v>-80</v>
      </c>
      <c r="P3590" t="n">
        <v>0.01004</v>
      </c>
      <c r="Q3590" t="n">
        <v>100</v>
      </c>
      <c r="R3590" t="n">
        <v>0.03363</v>
      </c>
      <c r="S3590">
        <f>IMAGE("https://mitra.stanford.edu/kundaje/oak/projects/neuro-variants/variant_position/credible/roussos_2024/variant_figures/roussos_2024.infant.GLU/rs9400241_count_position.png",4,220,900)</f>
        <v/>
      </c>
      <c r="T3590">
        <f>IMAGE("https://mitra.stanford.edu/kundaje/oak/projects/neuro-variants/variant_position/credible/roussos_2024/variant_figures/roussos_2024.infant.GLU/rs9400241_profile_position.png",4,220,900)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-0.0220654978</v>
      </c>
      <c r="G3591" t="n">
        <v>0.4171584929808966</v>
      </c>
      <c r="H3591" t="n">
        <v>0.0513993821837664</v>
      </c>
      <c r="I3591" t="n">
        <v>0.0066744434827243</v>
      </c>
      <c r="J3591" t="n">
        <v>0.0405410172181926</v>
      </c>
      <c r="K3591" t="n">
        <v>0.3885429008683135</v>
      </c>
      <c r="L3591" t="b">
        <v>1</v>
      </c>
      <c r="M3591" t="b">
        <v>0</v>
      </c>
      <c r="N3591" t="inlineStr">
        <is>
          <t>ref</t>
        </is>
      </c>
      <c r="O3591" t="n">
        <v>10</v>
      </c>
      <c r="P3591" t="n">
        <v>0.012695</v>
      </c>
      <c r="Q3591" t="n">
        <v>0</v>
      </c>
      <c r="R3591" t="n">
        <v>0</v>
      </c>
      <c r="S3591">
        <f>IMAGE("https://mitra.stanford.edu/kundaje/oak/projects/neuro-variants/variant_position/credible/roussos_2024/variant_figures/roussos_2024.infant.GLU/rs112540208_count_position.png",4,220,900)</f>
        <v/>
      </c>
      <c r="T3591">
        <f>IMAGE("https://mitra.stanford.edu/kundaje/oak/projects/neuro-variants/variant_position/credible/roussos_2024/variant_figures/roussos_2024.infant.GLU/rs112540208_profile_position.png",4,220,900)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-0.0727367564</v>
      </c>
      <c r="G3592" t="n">
        <v>0.1016274766443497</v>
      </c>
      <c r="H3592" t="n">
        <v>0.0217003189430761</v>
      </c>
      <c r="I3592" t="n">
        <v>0.151444359206078</v>
      </c>
      <c r="J3592" t="n">
        <v>0.0584977622963468</v>
      </c>
      <c r="K3592" t="n">
        <v>0.3069045870297197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0.1835</v>
      </c>
      <c r="Q3592" t="n">
        <v>-20</v>
      </c>
      <c r="R3592" t="n">
        <v>0.02246</v>
      </c>
      <c r="S3592">
        <f>IMAGE("https://mitra.stanford.edu/kundaje/oak/projects/neuro-variants/variant_position/credible/roussos_2024/variant_figures/roussos_2024.infant.GLU/rs9320364_count_position.png",4,220,900)</f>
        <v/>
      </c>
      <c r="T3592">
        <f>IMAGE("https://mitra.stanford.edu/kundaje/oak/projects/neuro-variants/variant_position/credible/roussos_2024/variant_figures/roussos_2024.infant.GLU/rs9320364_profile_position.png",4,220,900)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0.0231236515</v>
      </c>
      <c r="G3593" t="n">
        <v>0.3958354262793476</v>
      </c>
      <c r="H3593" t="n">
        <v>0.09194039818627781</v>
      </c>
      <c r="I3593" t="n">
        <v>0.0003016738566412</v>
      </c>
      <c r="J3593" t="n">
        <v>0.0132939438700147</v>
      </c>
      <c r="K3593" t="n">
        <v>0.6136628042231587</v>
      </c>
      <c r="L3593" t="b">
        <v>1</v>
      </c>
      <c r="M3593" t="b">
        <v>0</v>
      </c>
      <c r="N3593" t="inlineStr">
        <is>
          <t>alt</t>
        </is>
      </c>
      <c r="O3593" t="n">
        <v>-100</v>
      </c>
      <c r="P3593" t="n">
        <v>0.01685</v>
      </c>
      <c r="Q3593" t="n">
        <v>-100</v>
      </c>
      <c r="R3593" t="n">
        <v>0.0764</v>
      </c>
      <c r="S3593">
        <f>IMAGE("https://mitra.stanford.edu/kundaje/oak/projects/neuro-variants/variant_position/credible/roussos_2024/variant_figures/roussos_2024.infant.GLU/rs7746225_count_position.png",4,220,900)</f>
        <v/>
      </c>
      <c r="T3593">
        <f>IMAGE("https://mitra.stanford.edu/kundaje/oak/projects/neuro-variants/variant_position/credible/roussos_2024/variant_figures/roussos_2024.infant.GLU/rs7746225_profile_position.png",4,220,900)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-0.000329255648</v>
      </c>
      <c r="G3594" t="n">
        <v>0.8014891473533918</v>
      </c>
      <c r="H3594" t="n">
        <v>0.0261383615149561</v>
      </c>
      <c r="I3594" t="n">
        <v>0.0894161002162726</v>
      </c>
      <c r="J3594" t="n">
        <v>0.0596772415617627</v>
      </c>
      <c r="K3594" t="n">
        <v>0.3063324350768265</v>
      </c>
      <c r="L3594" t="b">
        <v>0</v>
      </c>
      <c r="M3594" t="b">
        <v>0</v>
      </c>
      <c r="N3594" t="inlineStr">
        <is>
          <t>ref</t>
        </is>
      </c>
      <c r="O3594" t="n">
        <v>-100</v>
      </c>
      <c r="P3594" t="n">
        <v>0.0252</v>
      </c>
      <c r="Q3594" t="n">
        <v>-25</v>
      </c>
      <c r="R3594" t="n">
        <v>0.0279</v>
      </c>
      <c r="S3594">
        <f>IMAGE("https://mitra.stanford.edu/kundaje/oak/projects/neuro-variants/variant_position/credible/roussos_2024/variant_figures/roussos_2024.infant.GLU/rs9487653_count_position.png",4,220,900)</f>
        <v/>
      </c>
      <c r="T3594">
        <f>IMAGE("https://mitra.stanford.edu/kundaje/oak/projects/neuro-variants/variant_position/credible/roussos_2024/variant_figures/roussos_2024.infant.GLU/rs9487653_profile_position.png",4,220,900)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-0.0319069994</v>
      </c>
      <c r="G3595" t="n">
        <v>0.3089272058677696</v>
      </c>
      <c r="H3595" t="n">
        <v>0.0590817010221127</v>
      </c>
      <c r="I3595" t="n">
        <v>0.0033747062605968</v>
      </c>
      <c r="J3595" t="n">
        <v>0.0161610705703388</v>
      </c>
      <c r="K3595" t="n">
        <v>0.572838964261431</v>
      </c>
      <c r="L3595" t="b">
        <v>1</v>
      </c>
      <c r="M3595" t="b">
        <v>0</v>
      </c>
      <c r="N3595" t="inlineStr">
        <is>
          <t>ref</t>
        </is>
      </c>
      <c r="O3595" t="n">
        <v>0</v>
      </c>
      <c r="P3595" t="n">
        <v>0</v>
      </c>
      <c r="Q3595" t="n">
        <v>10</v>
      </c>
      <c r="R3595" t="n">
        <v>0.001709</v>
      </c>
      <c r="S3595">
        <f>IMAGE("https://mitra.stanford.edu/kundaje/oak/projects/neuro-variants/variant_position/credible/roussos_2024/variant_figures/roussos_2024.infant.GLU/rs9320366_count_position.png",4,220,900)</f>
        <v/>
      </c>
      <c r="T3595">
        <f>IMAGE("https://mitra.stanford.edu/kundaje/oak/projects/neuro-variants/variant_position/credible/roussos_2024/variant_figures/roussos_2024.infant.GLU/rs9320366_profile_position.png",4,220,900)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0.056714449</v>
      </c>
      <c r="G3596" t="n">
        <v>0.1383607502710804</v>
      </c>
      <c r="H3596" t="n">
        <v>0.010859867619344</v>
      </c>
      <c r="I3596" t="n">
        <v>0.6483652411455961</v>
      </c>
      <c r="J3596" t="n">
        <v>0.0610341938755263</v>
      </c>
      <c r="K3596" t="n">
        <v>0.3005423468270431</v>
      </c>
      <c r="L3596" t="b">
        <v>0</v>
      </c>
      <c r="M3596" t="b">
        <v>0</v>
      </c>
      <c r="N3596" t="inlineStr">
        <is>
          <t>alt</t>
        </is>
      </c>
      <c r="O3596" t="n">
        <v>-75</v>
      </c>
      <c r="P3596" t="n">
        <v>0.0282</v>
      </c>
      <c r="Q3596" t="n">
        <v>-80</v>
      </c>
      <c r="R3596" t="n">
        <v>0.0723</v>
      </c>
      <c r="S3596">
        <f>IMAGE("https://mitra.stanford.edu/kundaje/oak/projects/neuro-variants/variant_position/credible/roussos_2024/variant_figures/roussos_2024.infant.GLU/rs4945884_count_position.png",4,220,900)</f>
        <v/>
      </c>
      <c r="T3596">
        <f>IMAGE("https://mitra.stanford.edu/kundaje/oak/projects/neuro-variants/variant_position/credible/roussos_2024/variant_figures/roussos_2024.infant.GLU/rs4945884_profile_position.png",4,220,900)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-0.0417077639999999</v>
      </c>
      <c r="G3597" t="n">
        <v>0.2243209212037308</v>
      </c>
      <c r="H3597" t="n">
        <v>0.0065509522437277</v>
      </c>
      <c r="I3597" t="n">
        <v>0.977364456877878</v>
      </c>
      <c r="J3597" t="n">
        <v>0.0301417579752639</v>
      </c>
      <c r="K3597" t="n">
        <v>0.4578997981382679</v>
      </c>
      <c r="L3597" t="b">
        <v>0</v>
      </c>
      <c r="M3597" t="b">
        <v>0</v>
      </c>
      <c r="N3597" t="inlineStr">
        <is>
          <t>ref</t>
        </is>
      </c>
      <c r="O3597" t="n">
        <v>70</v>
      </c>
      <c r="P3597" t="n">
        <v>0.003334</v>
      </c>
      <c r="Q3597" t="n">
        <v>30</v>
      </c>
      <c r="R3597" t="n">
        <v>0.05518</v>
      </c>
      <c r="S3597">
        <f>IMAGE("https://mitra.stanford.edu/kundaje/oak/projects/neuro-variants/variant_position/credible/roussos_2024/variant_figures/roussos_2024.infant.GLU/rs12214623_count_position.png",4,220,900)</f>
        <v/>
      </c>
      <c r="T3597">
        <f>IMAGE("https://mitra.stanford.edu/kundaje/oak/projects/neuro-variants/variant_position/credible/roussos_2024/variant_figures/roussos_2024.infant.GLU/rs12214623_profile_position.png",4,220,900)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-0.02783885576</v>
      </c>
      <c r="G3598" t="n">
        <v>0.3604573887706686</v>
      </c>
      <c r="H3598" t="n">
        <v>0.0113390446194571</v>
      </c>
      <c r="I3598" t="n">
        <v>0.6091135009318076</v>
      </c>
      <c r="J3598" t="n">
        <v>0.0628001058224387</v>
      </c>
      <c r="K3598" t="n">
        <v>0.2918128108966049</v>
      </c>
      <c r="L3598" t="b">
        <v>0</v>
      </c>
      <c r="M3598" t="b">
        <v>0</v>
      </c>
      <c r="N3598" t="inlineStr">
        <is>
          <t>ref</t>
        </is>
      </c>
      <c r="O3598" t="n">
        <v>-85</v>
      </c>
      <c r="P3598" t="n">
        <v>0.252</v>
      </c>
      <c r="Q3598" t="n">
        <v>-35</v>
      </c>
      <c r="R3598" t="n">
        <v>0.04565</v>
      </c>
      <c r="S3598">
        <f>IMAGE("https://mitra.stanford.edu/kundaje/oak/projects/neuro-variants/variant_position/credible/roussos_2024/variant_figures/roussos_2024.infant.GLU/rs1592148_count_position.png",4,220,900)</f>
        <v/>
      </c>
      <c r="T3598">
        <f>IMAGE("https://mitra.stanford.edu/kundaje/oak/projects/neuro-variants/variant_position/credible/roussos_2024/variant_figures/roussos_2024.infant.GLU/rs1592148_profile_position.png",4,220,900)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0.0241681724</v>
      </c>
      <c r="G3599" t="n">
        <v>0.3821651135970445</v>
      </c>
      <c r="H3599" t="n">
        <v>0.0122972241850055</v>
      </c>
      <c r="I3599" t="n">
        <v>0.5366048143267083</v>
      </c>
      <c r="J3599" t="n">
        <v>0.0237262726250578</v>
      </c>
      <c r="K3599" t="n">
        <v>0.5016018852410967</v>
      </c>
      <c r="L3599" t="b">
        <v>0</v>
      </c>
      <c r="M3599" t="b">
        <v>0</v>
      </c>
      <c r="N3599" t="inlineStr">
        <is>
          <t>alt</t>
        </is>
      </c>
      <c r="O3599" t="n">
        <v>100</v>
      </c>
      <c r="P3599" t="n">
        <v>0.0116</v>
      </c>
      <c r="Q3599" t="n">
        <v>-95</v>
      </c>
      <c r="R3599" t="n">
        <v>0.04828</v>
      </c>
      <c r="S3599">
        <f>IMAGE("https://mitra.stanford.edu/kundaje/oak/projects/neuro-variants/variant_position/credible/roussos_2024/variant_figures/roussos_2024.infant.GLU/rs6568750_count_position.png",4,220,900)</f>
        <v/>
      </c>
      <c r="T3599">
        <f>IMAGE("https://mitra.stanford.edu/kundaje/oak/projects/neuro-variants/variant_position/credible/roussos_2024/variant_figures/roussos_2024.infant.GLU/rs6568750_profile_position.png",4,220,900)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-0.090588188</v>
      </c>
      <c r="G3600" t="n">
        <v>0.0638458498426578</v>
      </c>
      <c r="H3600" t="n">
        <v>0.0175067568683706</v>
      </c>
      <c r="I3600" t="n">
        <v>0.2695694097737541</v>
      </c>
      <c r="J3600" t="n">
        <v>0.0119149452148415</v>
      </c>
      <c r="K3600" t="n">
        <v>0.6288111601172495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0.01453</v>
      </c>
      <c r="Q3600" t="n">
        <v>10</v>
      </c>
      <c r="R3600" t="n">
        <v>0.02351</v>
      </c>
      <c r="S3600">
        <f>IMAGE("https://mitra.stanford.edu/kundaje/oak/projects/neuro-variants/variant_position/credible/roussos_2024/variant_figures/roussos_2024.infant.GLU/rs7738702_count_position.png",4,220,900)</f>
        <v/>
      </c>
      <c r="T3600">
        <f>IMAGE("https://mitra.stanford.edu/kundaje/oak/projects/neuro-variants/variant_position/credible/roussos_2024/variant_figures/roussos_2024.infant.GLU/rs7738702_profile_position.png",4,220,900)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0.0256859606</v>
      </c>
      <c r="G3601" t="n">
        <v>0.360967529132702</v>
      </c>
      <c r="H3601" t="n">
        <v>0.009321670209462901</v>
      </c>
      <c r="I3601" t="n">
        <v>0.7638136855330778</v>
      </c>
      <c r="J3601" t="n">
        <v>0.0160607597169249</v>
      </c>
      <c r="K3601" t="n">
        <v>0.5822824162381585</v>
      </c>
      <c r="L3601" t="b">
        <v>0</v>
      </c>
      <c r="M3601" t="b">
        <v>0</v>
      </c>
      <c r="N3601" t="inlineStr">
        <is>
          <t>alt</t>
        </is>
      </c>
      <c r="O3601" t="n">
        <v>-95</v>
      </c>
      <c r="P3601" t="n">
        <v>0.01588</v>
      </c>
      <c r="Q3601" t="n">
        <v>70</v>
      </c>
      <c r="R3601" t="n">
        <v>0.08484</v>
      </c>
      <c r="S3601">
        <f>IMAGE("https://mitra.stanford.edu/kundaje/oak/projects/neuro-variants/variant_position/credible/roussos_2024/variant_figures/roussos_2024.infant.GLU/rs6937893_count_position.png",4,220,900)</f>
        <v/>
      </c>
      <c r="T3601">
        <f>IMAGE("https://mitra.stanford.edu/kundaje/oak/projects/neuro-variants/variant_position/credible/roussos_2024/variant_figures/roussos_2024.infant.GLU/rs6937893_profile_position.png",4,220,900)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-0.377496532</v>
      </c>
      <c r="G3602" t="n">
        <v>0.0015786895025995</v>
      </c>
      <c r="H3602" t="n">
        <v>0.0464074972678715</v>
      </c>
      <c r="I3602" t="n">
        <v>0.0114226045689837</v>
      </c>
      <c r="J3602" t="n">
        <v>0.2826605524813156</v>
      </c>
      <c r="K3602" t="n">
        <v>0.0733397439026291</v>
      </c>
      <c r="L3602" t="b">
        <v>1</v>
      </c>
      <c r="M3602" t="b">
        <v>1</v>
      </c>
      <c r="N3602" t="inlineStr">
        <is>
          <t>ref</t>
        </is>
      </c>
      <c r="O3602" t="n">
        <v>30</v>
      </c>
      <c r="P3602" t="n">
        <v>0.005936</v>
      </c>
      <c r="Q3602" t="n">
        <v>45</v>
      </c>
      <c r="R3602" t="n">
        <v>0.0674</v>
      </c>
      <c r="S3602">
        <f>IMAGE("https://mitra.stanford.edu/kundaje/oak/projects/neuro-variants/variant_position/credible/roussos_2024/variant_figures/roussos_2024.infant.GLU/rs13218679_count_position.png",4,220,900)</f>
        <v/>
      </c>
      <c r="T3602">
        <f>IMAGE("https://mitra.stanford.edu/kundaje/oak/projects/neuro-variants/variant_position/credible/roussos_2024/variant_figures/roussos_2024.infant.GLU/rs13218679_profile_position.png",4,220,900)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-0.03372631746</v>
      </c>
      <c r="G3603" t="n">
        <v>0.2973750923824764</v>
      </c>
      <c r="H3603" t="n">
        <v>0.00883533573529</v>
      </c>
      <c r="I3603" t="n">
        <v>0.8372662509573109</v>
      </c>
      <c r="J3603" t="n">
        <v>0.4255153332304504</v>
      </c>
      <c r="K3603" t="n">
        <v>0.0408254352524742</v>
      </c>
      <c r="L3603" t="b">
        <v>0</v>
      </c>
      <c r="M3603" t="b">
        <v>0</v>
      </c>
      <c r="N3603" t="inlineStr">
        <is>
          <t>ref</t>
        </is>
      </c>
      <c r="O3603" t="n">
        <v>85</v>
      </c>
      <c r="P3603" t="n">
        <v>0.0982</v>
      </c>
      <c r="Q3603" t="n">
        <v>95</v>
      </c>
      <c r="R3603" t="n">
        <v>0.3213</v>
      </c>
      <c r="S3603">
        <f>IMAGE("https://mitra.stanford.edu/kundaje/oak/projects/neuro-variants/variant_position/credible/roussos_2024/variant_figures/roussos_2024.infant.GLU/rs2502388_count_position.png",4,220,900)</f>
        <v/>
      </c>
      <c r="T3603">
        <f>IMAGE("https://mitra.stanford.edu/kundaje/oak/projects/neuro-variants/variant_position/credible/roussos_2024/variant_figures/roussos_2024.infant.GLU/rs2502388_profile_position.png",4,220,900)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0.1178191876</v>
      </c>
      <c r="G3604" t="n">
        <v>0.038787358487052</v>
      </c>
      <c r="H3604" t="n">
        <v>0.0178262024665536</v>
      </c>
      <c r="I3604" t="n">
        <v>0.2528069740860109</v>
      </c>
      <c r="J3604" t="n">
        <v>0.0099484115611014</v>
      </c>
      <c r="K3604" t="n">
        <v>0.688349417790633</v>
      </c>
      <c r="L3604" t="b">
        <v>0</v>
      </c>
      <c r="M3604" t="b">
        <v>0</v>
      </c>
      <c r="N3604" t="inlineStr">
        <is>
          <t>alt</t>
        </is>
      </c>
      <c r="O3604" t="n">
        <v>-15</v>
      </c>
      <c r="P3604" t="n">
        <v>0.01083</v>
      </c>
      <c r="Q3604" t="n">
        <v>-85</v>
      </c>
      <c r="R3604" t="n">
        <v>0.04388</v>
      </c>
      <c r="S3604">
        <f>IMAGE("https://mitra.stanford.edu/kundaje/oak/projects/neuro-variants/variant_position/credible/roussos_2024/variant_figures/roussos_2024.infant.GLU/rs13195261_count_position.png",4,220,900)</f>
        <v/>
      </c>
      <c r="T3604">
        <f>IMAGE("https://mitra.stanford.edu/kundaje/oak/projects/neuro-variants/variant_position/credible/roussos_2024/variant_figures/roussos_2024.infant.GLU/rs13195261_profile_position.png",4,220,900)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-0.1244546652</v>
      </c>
      <c r="G3605" t="n">
        <v>0.0333222351538585</v>
      </c>
      <c r="H3605" t="n">
        <v>0.0360827318711407</v>
      </c>
      <c r="I3605" t="n">
        <v>0.0303578615965028</v>
      </c>
      <c r="J3605" t="n">
        <v>0.0413600388015608</v>
      </c>
      <c r="K3605" t="n">
        <v>0.3899497749046344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0.04675</v>
      </c>
      <c r="Q3605" t="n">
        <v>50</v>
      </c>
      <c r="R3605" t="n">
        <v>0.1356</v>
      </c>
      <c r="S3605">
        <f>IMAGE("https://mitra.stanford.edu/kundaje/oak/projects/neuro-variants/variant_position/credible/roussos_2024/variant_figures/roussos_2024.infant.GLU/rs1321026_count_position.png",4,220,900)</f>
        <v/>
      </c>
      <c r="T3605">
        <f>IMAGE("https://mitra.stanford.edu/kundaje/oak/projects/neuro-variants/variant_position/credible/roussos_2024/variant_figures/roussos_2024.infant.GLU/rs1321026_profile_position.png",4,220,900)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0.073106351</v>
      </c>
      <c r="G3606" t="n">
        <v>0.093728748825258</v>
      </c>
      <c r="H3606" t="n">
        <v>0.0322937598679669</v>
      </c>
      <c r="I3606" t="n">
        <v>0.0459368758570462</v>
      </c>
      <c r="J3606" t="n">
        <v>0.0006955620714741</v>
      </c>
      <c r="K3606" t="n">
        <v>0.9182043562561066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0.00576</v>
      </c>
      <c r="Q3606" t="n">
        <v>-45</v>
      </c>
      <c r="R3606" t="n">
        <v>0.05945</v>
      </c>
      <c r="S3606">
        <f>IMAGE("https://mitra.stanford.edu/kundaje/oak/projects/neuro-variants/variant_position/credible/roussos_2024/variant_figures/roussos_2024.infant.GLU/rs902780_count_position.png",4,220,900)</f>
        <v/>
      </c>
      <c r="T3606">
        <f>IMAGE("https://mitra.stanford.edu/kundaje/oak/projects/neuro-variants/variant_position/credible/roussos_2024/variant_figures/roussos_2024.infant.GLU/rs902780_profile_position.png",4,220,900)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0.0485249168</v>
      </c>
      <c r="G3607" t="n">
        <v>0.1789750994546391</v>
      </c>
      <c r="H3607" t="n">
        <v>0.0269180841997954</v>
      </c>
      <c r="I3607" t="n">
        <v>0.0812670448893746</v>
      </c>
      <c r="J3607" t="n">
        <v>0.933575475649816</v>
      </c>
      <c r="K3607" t="n">
        <v>0.0016430370750544</v>
      </c>
      <c r="L3607" t="b">
        <v>0</v>
      </c>
      <c r="M3607" t="b">
        <v>0</v>
      </c>
      <c r="N3607" t="inlineStr">
        <is>
          <t>alt</t>
        </is>
      </c>
      <c r="O3607" t="n">
        <v>-85</v>
      </c>
      <c r="P3607" t="n">
        <v>0.02388</v>
      </c>
      <c r="Q3607" t="n">
        <v>-60</v>
      </c>
      <c r="R3607" t="n">
        <v>0.266</v>
      </c>
      <c r="S3607">
        <f>IMAGE("https://mitra.stanford.edu/kundaje/oak/projects/neuro-variants/variant_position/credible/roussos_2024/variant_figures/roussos_2024.infant.GLU/rs114000233_count_position.png",4,220,900)</f>
        <v/>
      </c>
      <c r="T3607">
        <f>IMAGE("https://mitra.stanford.edu/kundaje/oak/projects/neuro-variants/variant_position/credible/roussos_2024/variant_figures/roussos_2024.infant.GLU/rs114000233_profile_position.png",4,220,900)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-0.0447586576</v>
      </c>
      <c r="G3608" t="n">
        <v>0.2109665583333877</v>
      </c>
      <c r="H3608" t="n">
        <v>0.028600216880548</v>
      </c>
      <c r="I3608" t="n">
        <v>0.0673194583843827</v>
      </c>
      <c r="J3608" t="n">
        <v>0.0253676227430057</v>
      </c>
      <c r="K3608" t="n">
        <v>0.4831855388778577</v>
      </c>
      <c r="L3608" t="b">
        <v>0</v>
      </c>
      <c r="M3608" t="b">
        <v>0</v>
      </c>
      <c r="N3608" t="inlineStr">
        <is>
          <t>ref</t>
        </is>
      </c>
      <c r="O3608" t="n">
        <v>35</v>
      </c>
      <c r="P3608" t="n">
        <v>0.011566</v>
      </c>
      <c r="Q3608" t="n">
        <v>-60</v>
      </c>
      <c r="R3608" t="n">
        <v>0.02141</v>
      </c>
      <c r="S3608">
        <f>IMAGE("https://mitra.stanford.edu/kundaje/oak/projects/neuro-variants/variant_position/credible/roussos_2024/variant_figures/roussos_2024.infant.GLU/rs6901738_count_position.png",4,220,900)</f>
        <v/>
      </c>
      <c r="T3608">
        <f>IMAGE("https://mitra.stanford.edu/kundaje/oak/projects/neuro-variants/variant_position/credible/roussos_2024/variant_figures/roussos_2024.infant.GLU/rs6901738_profile_position.png",4,220,900)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0.08932686099999999</v>
      </c>
      <c r="G3609" t="n">
        <v>0.0625373263696689</v>
      </c>
      <c r="H3609" t="n">
        <v>0.0525663903671113</v>
      </c>
      <c r="I3609" t="n">
        <v>0.0059001321448417</v>
      </c>
      <c r="J3609" t="n">
        <v>0.1991809784166317</v>
      </c>
      <c r="K3609" t="n">
        <v>0.1090280129705081</v>
      </c>
      <c r="L3609" t="b">
        <v>1</v>
      </c>
      <c r="M3609" t="b">
        <v>1</v>
      </c>
      <c r="N3609" t="inlineStr">
        <is>
          <t>alt</t>
        </is>
      </c>
      <c r="O3609" t="n">
        <v>-95</v>
      </c>
      <c r="P3609" t="n">
        <v>0.0304</v>
      </c>
      <c r="Q3609" t="n">
        <v>50</v>
      </c>
      <c r="R3609" t="n">
        <v>0.04224</v>
      </c>
      <c r="S3609">
        <f>IMAGE("https://mitra.stanford.edu/kundaje/oak/projects/neuro-variants/variant_position/credible/roussos_2024/variant_figures/roussos_2024.infant.GLU/rs4946382_count_position.png",4,220,900)</f>
        <v/>
      </c>
      <c r="T3609">
        <f>IMAGE("https://mitra.stanford.edu/kundaje/oak/projects/neuro-variants/variant_position/credible/roussos_2024/variant_figures/roussos_2024.infant.GLU/rs4946382_profile_position.png",4,220,900)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0.0364346448</v>
      </c>
      <c r="G3610" t="n">
        <v>0.2546090993565455</v>
      </c>
      <c r="H3610" t="n">
        <v>0.009628472281543701</v>
      </c>
      <c r="I3610" t="n">
        <v>0.7759529381434108</v>
      </c>
      <c r="J3610" t="n">
        <v>0.0027976807248836</v>
      </c>
      <c r="K3610" t="n">
        <v>0.8415601077620323</v>
      </c>
      <c r="L3610" t="b">
        <v>0</v>
      </c>
      <c r="M3610" t="b">
        <v>0</v>
      </c>
      <c r="N3610" t="inlineStr">
        <is>
          <t>alt</t>
        </is>
      </c>
      <c r="O3610" t="n">
        <v>90</v>
      </c>
      <c r="P3610" t="n">
        <v>0.01379</v>
      </c>
      <c r="Q3610" t="n">
        <v>15</v>
      </c>
      <c r="R3610" t="n">
        <v>0.01717</v>
      </c>
      <c r="S3610">
        <f>IMAGE("https://mitra.stanford.edu/kundaje/oak/projects/neuro-variants/variant_position/credible/roussos_2024/variant_figures/roussos_2024.infant.GLU/rs1775620_count_position.png",4,220,900)</f>
        <v/>
      </c>
      <c r="T3610">
        <f>IMAGE("https://mitra.stanford.edu/kundaje/oak/projects/neuro-variants/variant_position/credible/roussos_2024/variant_figures/roussos_2024.infant.GLU/rs1775620_profile_position.png",4,220,900)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0.0529389008</v>
      </c>
      <c r="G3611" t="n">
        <v>0.1600132203097443</v>
      </c>
      <c r="H3611" t="n">
        <v>0.0116368686311683</v>
      </c>
      <c r="I3611" t="n">
        <v>0.5832393397456579</v>
      </c>
      <c r="J3611" t="n">
        <v>0.0425428250181882</v>
      </c>
      <c r="K3611" t="n">
        <v>0.3817439493324541</v>
      </c>
      <c r="L3611" t="b">
        <v>0</v>
      </c>
      <c r="M3611" t="b">
        <v>0</v>
      </c>
      <c r="N3611" t="inlineStr">
        <is>
          <t>alt</t>
        </is>
      </c>
      <c r="O3611" t="n">
        <v>-100</v>
      </c>
      <c r="P3611" t="n">
        <v>0.04297</v>
      </c>
      <c r="Q3611" t="n">
        <v>-75</v>
      </c>
      <c r="R3611" t="n">
        <v>0.05615</v>
      </c>
      <c r="S3611">
        <f>IMAGE("https://mitra.stanford.edu/kundaje/oak/projects/neuro-variants/variant_position/credible/roussos_2024/variant_figures/roussos_2024.infant.GLU/rs6931074_count_position.png",4,220,900)</f>
        <v/>
      </c>
      <c r="T3611">
        <f>IMAGE("https://mitra.stanford.edu/kundaje/oak/projects/neuro-variants/variant_position/credible/roussos_2024/variant_figures/roussos_2024.infant.GLU/rs6931074_profile_position.png",4,220,900)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-0.06269092800000001</v>
      </c>
      <c r="G3612" t="n">
        <v>0.120717423782837</v>
      </c>
      <c r="H3612" t="n">
        <v>0.0141617967353283</v>
      </c>
      <c r="I3612" t="n">
        <v>0.4057365504965379</v>
      </c>
      <c r="J3612" t="n">
        <v>0.0229524460415793</v>
      </c>
      <c r="K3612" t="n">
        <v>0.5114790666791043</v>
      </c>
      <c r="L3612" t="b">
        <v>0</v>
      </c>
      <c r="M3612" t="b">
        <v>0</v>
      </c>
      <c r="N3612" t="inlineStr">
        <is>
          <t>ref</t>
        </is>
      </c>
      <c r="O3612" t="n">
        <v>20</v>
      </c>
      <c r="P3612" t="n">
        <v>0.006104</v>
      </c>
      <c r="Q3612" t="n">
        <v>95</v>
      </c>
      <c r="R3612" t="n">
        <v>0.1564</v>
      </c>
      <c r="S3612">
        <f>IMAGE("https://mitra.stanford.edu/kundaje/oak/projects/neuro-variants/variant_position/credible/roussos_2024/variant_figures/roussos_2024.infant.GLU/rs2357023_count_position.png",4,220,900)</f>
        <v/>
      </c>
      <c r="T3612">
        <f>IMAGE("https://mitra.stanford.edu/kundaje/oak/projects/neuro-variants/variant_position/credible/roussos_2024/variant_figures/roussos_2024.infant.GLU/rs2357023_profile_position.png",4,220,900)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-0.0524784915999999</v>
      </c>
      <c r="G3613" t="n">
        <v>0.1581966661272214</v>
      </c>
      <c r="H3613" t="n">
        <v>0.0144142589456772</v>
      </c>
      <c r="I3613" t="n">
        <v>0.3931699360892713</v>
      </c>
      <c r="J3613" t="n">
        <v>0.5174882603231994</v>
      </c>
      <c r="K3613" t="n">
        <v>0.0289675427476227</v>
      </c>
      <c r="L3613" t="b">
        <v>0</v>
      </c>
      <c r="M3613" t="b">
        <v>0</v>
      </c>
      <c r="N3613" t="inlineStr">
        <is>
          <t>ref</t>
        </is>
      </c>
      <c r="O3613" t="n">
        <v>40</v>
      </c>
      <c r="P3613" t="n">
        <v>0.01888</v>
      </c>
      <c r="Q3613" t="n">
        <v>90</v>
      </c>
      <c r="R3613" t="n">
        <v>0.1709</v>
      </c>
      <c r="S3613">
        <f>IMAGE("https://mitra.stanford.edu/kundaje/oak/projects/neuro-variants/variant_position/credible/roussos_2024/variant_figures/roussos_2024.infant.GLU/rs6929403_count_position.png",4,220,900)</f>
        <v/>
      </c>
      <c r="T3613">
        <f>IMAGE("https://mitra.stanford.edu/kundaje/oak/projects/neuro-variants/variant_position/credible/roussos_2024/variant_figures/roussos_2024.infant.GLU/rs6929403_profile_position.png",4,220,900)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0.02363592332</v>
      </c>
      <c r="G3614" t="n">
        <v>0.3957318664632228</v>
      </c>
      <c r="H3614" t="n">
        <v>0.0196595352030625</v>
      </c>
      <c r="I3614" t="n">
        <v>0.1907219226681425</v>
      </c>
      <c r="J3614" t="n">
        <v>0.0330651028461826</v>
      </c>
      <c r="K3614" t="n">
        <v>0.4273531299066678</v>
      </c>
      <c r="L3614" t="b">
        <v>0</v>
      </c>
      <c r="M3614" t="b">
        <v>0</v>
      </c>
      <c r="N3614" t="inlineStr">
        <is>
          <t>alt</t>
        </is>
      </c>
      <c r="O3614" t="n">
        <v>-85</v>
      </c>
      <c r="P3614" t="n">
        <v>0.01473</v>
      </c>
      <c r="Q3614" t="n">
        <v>60</v>
      </c>
      <c r="R3614" t="n">
        <v>0.09357</v>
      </c>
      <c r="S3614">
        <f>IMAGE("https://mitra.stanford.edu/kundaje/oak/projects/neuro-variants/variant_position/credible/roussos_2024/variant_figures/roussos_2024.infant.GLU/rs794249_count_position.png",4,220,900)</f>
        <v/>
      </c>
      <c r="T3614">
        <f>IMAGE("https://mitra.stanford.edu/kundaje/oak/projects/neuro-variants/variant_position/credible/roussos_2024/variant_figures/roussos_2024.infant.GLU/rs794249_profile_position.png",4,220,900)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0.00480717462</v>
      </c>
      <c r="G3615" t="n">
        <v>0.7053488902760801</v>
      </c>
      <c r="H3615" t="n">
        <v>0.0202417423024779</v>
      </c>
      <c r="I3615" t="n">
        <v>0.1798212450663655</v>
      </c>
      <c r="J3615" t="n">
        <v>0.0603584735113207</v>
      </c>
      <c r="K3615" t="n">
        <v>0.3045415462395412</v>
      </c>
      <c r="L3615" t="b">
        <v>0</v>
      </c>
      <c r="M3615" t="b">
        <v>0</v>
      </c>
      <c r="N3615" t="inlineStr">
        <is>
          <t>alt</t>
        </is>
      </c>
      <c r="O3615" t="n">
        <v>85</v>
      </c>
      <c r="P3615" t="n">
        <v>0.04352</v>
      </c>
      <c r="Q3615" t="n">
        <v>100</v>
      </c>
      <c r="R3615" t="n">
        <v>0.08057</v>
      </c>
      <c r="S3615">
        <f>IMAGE("https://mitra.stanford.edu/kundaje/oak/projects/neuro-variants/variant_position/credible/roussos_2024/variant_figures/roussos_2024.infant.GLU/rs7451540_count_position.png",4,220,900)</f>
        <v/>
      </c>
      <c r="T3615">
        <f>IMAGE("https://mitra.stanford.edu/kundaje/oak/projects/neuro-variants/variant_position/credible/roussos_2024/variant_figures/roussos_2024.infant.GLU/rs7451540_profile_position.png",4,220,900)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-0.0732905564</v>
      </c>
      <c r="G3616" t="n">
        <v>0.1212128759893921</v>
      </c>
      <c r="H3616" t="n">
        <v>0.0174371681658065</v>
      </c>
      <c r="I3616" t="n">
        <v>0.274486824705457</v>
      </c>
      <c r="J3616" t="n">
        <v>0.186842743446725</v>
      </c>
      <c r="K3616" t="n">
        <v>0.1155573041365898</v>
      </c>
      <c r="L3616" t="b">
        <v>0</v>
      </c>
      <c r="M3616" t="b">
        <v>0</v>
      </c>
      <c r="N3616" t="inlineStr">
        <is>
          <t>ref</t>
        </is>
      </c>
      <c r="O3616" t="n">
        <v>100</v>
      </c>
      <c r="P3616" t="n">
        <v>0.006676</v>
      </c>
      <c r="Q3616" t="n">
        <v>-95</v>
      </c>
      <c r="R3616" t="n">
        <v>0.1753</v>
      </c>
      <c r="S3616">
        <f>IMAGE("https://mitra.stanford.edu/kundaje/oak/projects/neuro-variants/variant_position/credible/roussos_2024/variant_figures/roussos_2024.infant.GLU/rs9376742_count_position.png",4,220,900)</f>
        <v/>
      </c>
      <c r="T3616">
        <f>IMAGE("https://mitra.stanford.edu/kundaje/oak/projects/neuro-variants/variant_position/credible/roussos_2024/variant_figures/roussos_2024.infant.GLU/rs9376742_profile_position.png",4,220,900)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0.0290292528</v>
      </c>
      <c r="G3617" t="n">
        <v>0.204804820558232</v>
      </c>
      <c r="H3617" t="n">
        <v>0.0172469242518818</v>
      </c>
      <c r="I3617" t="n">
        <v>0.2702185807996441</v>
      </c>
      <c r="J3617" t="n">
        <v>0.3078870786392998</v>
      </c>
      <c r="K3617" t="n">
        <v>0.0667683897520278</v>
      </c>
      <c r="L3617" t="b">
        <v>0</v>
      </c>
      <c r="M3617" t="b">
        <v>0</v>
      </c>
      <c r="N3617" t="inlineStr">
        <is>
          <t>alt</t>
        </is>
      </c>
      <c r="O3617" t="n">
        <v>95</v>
      </c>
      <c r="P3617" t="n">
        <v>0.02722</v>
      </c>
      <c r="Q3617" t="n">
        <v>-10</v>
      </c>
      <c r="R3617" t="n">
        <v>0.07495</v>
      </c>
      <c r="S3617">
        <f>IMAGE("https://mitra.stanford.edu/kundaje/oak/projects/neuro-variants/variant_position/credible/roussos_2024/variant_figures/roussos_2024.infant.GLU/rs2303386_count_position.png",4,220,900)</f>
        <v/>
      </c>
      <c r="T3617">
        <f>IMAGE("https://mitra.stanford.edu/kundaje/oak/projects/neuro-variants/variant_position/credible/roussos_2024/variant_figures/roussos_2024.infant.GLU/rs2303386_profile_position.png",4,220,900)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-0.036217354456</v>
      </c>
      <c r="G3618" t="n">
        <v>0.3253990224795708</v>
      </c>
      <c r="H3618" t="n">
        <v>0.020390960744314</v>
      </c>
      <c r="I3618" t="n">
        <v>0.1855260218126493</v>
      </c>
      <c r="J3618" t="n">
        <v>0.0002050309751096</v>
      </c>
      <c r="K3618" t="n">
        <v>0.9744338102273032</v>
      </c>
      <c r="L3618" t="b">
        <v>0</v>
      </c>
      <c r="M3618" t="b">
        <v>0</v>
      </c>
      <c r="N3618" t="inlineStr">
        <is>
          <t>ref</t>
        </is>
      </c>
      <c r="O3618" t="n">
        <v>90</v>
      </c>
      <c r="P3618" t="n">
        <v>0.005524</v>
      </c>
      <c r="Q3618" t="n">
        <v>-45</v>
      </c>
      <c r="R3618" t="n">
        <v>0.01602</v>
      </c>
      <c r="S3618">
        <f>IMAGE("https://mitra.stanford.edu/kundaje/oak/projects/neuro-variants/variant_position/credible/roussos_2024/variant_figures/roussos_2024.infant.GLU/rs9376824_count_position.png",4,220,900)</f>
        <v/>
      </c>
      <c r="T3618">
        <f>IMAGE("https://mitra.stanford.edu/kundaje/oak/projects/neuro-variants/variant_position/credible/roussos_2024/variant_figures/roussos_2024.infant.GLU/rs9376824_profile_position.png",4,220,900)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0.002366869332</v>
      </c>
      <c r="G3619" t="n">
        <v>0.7804123268880764</v>
      </c>
      <c r="H3619" t="n">
        <v>0.0342655486703007</v>
      </c>
      <c r="I3619" t="n">
        <v>0.0368306617905309</v>
      </c>
      <c r="J3619" t="n">
        <v>0.0328325139443108</v>
      </c>
      <c r="K3619" t="n">
        <v>0.4367877090429173</v>
      </c>
      <c r="L3619" t="b">
        <v>0</v>
      </c>
      <c r="M3619" t="b">
        <v>0</v>
      </c>
      <c r="N3619" t="inlineStr">
        <is>
          <t>alt</t>
        </is>
      </c>
      <c r="O3619" t="n">
        <v>70</v>
      </c>
      <c r="P3619" t="n">
        <v>0.0339</v>
      </c>
      <c r="Q3619" t="n">
        <v>75</v>
      </c>
      <c r="R3619" t="n">
        <v>0.318</v>
      </c>
      <c r="S3619">
        <f>IMAGE("https://mitra.stanford.edu/kundaje/oak/projects/neuro-variants/variant_position/credible/roussos_2024/variant_figures/roussos_2024.infant.GLU/rs4896728_count_position.png",4,220,900)</f>
        <v/>
      </c>
      <c r="T3619">
        <f>IMAGE("https://mitra.stanford.edu/kundaje/oak/projects/neuro-variants/variant_position/credible/roussos_2024/variant_figures/roussos_2024.infant.GLU/rs4896728_profile_position.png",4,220,900)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0.0027876478999999</v>
      </c>
      <c r="G3620" t="n">
        <v>0.5780870831777194</v>
      </c>
      <c r="H3620" t="n">
        <v>0.019669165580377</v>
      </c>
      <c r="I3620" t="n">
        <v>0.1902516127699066</v>
      </c>
      <c r="J3620" t="n">
        <v>0.4462973169602504</v>
      </c>
      <c r="K3620" t="n">
        <v>0.0381098151149269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0.04575</v>
      </c>
      <c r="Q3620" t="n">
        <v>-35</v>
      </c>
      <c r="R3620" t="n">
        <v>0.05713</v>
      </c>
      <c r="S3620">
        <f>IMAGE("https://mitra.stanford.edu/kundaje/oak/projects/neuro-variants/variant_position/credible/roussos_2024/variant_figures/roussos_2024.infant.GLU/rs9376826_count_position.png",4,220,900)</f>
        <v/>
      </c>
      <c r="T3620">
        <f>IMAGE("https://mitra.stanford.edu/kundaje/oak/projects/neuro-variants/variant_position/credible/roussos_2024/variant_figures/roussos_2024.infant.GLU/rs9376826_profile_position.png",4,220,900)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0.0261369416</v>
      </c>
      <c r="G3621" t="n">
        <v>0.3555909057532432</v>
      </c>
      <c r="H3621" t="n">
        <v>0.039399525184678</v>
      </c>
      <c r="I3621" t="n">
        <v>0.0214589051178706</v>
      </c>
      <c r="J3621" t="n">
        <v>0.0345344915011353</v>
      </c>
      <c r="K3621" t="n">
        <v>0.4215578029296916</v>
      </c>
      <c r="L3621" t="b">
        <v>0</v>
      </c>
      <c r="M3621" t="b">
        <v>0</v>
      </c>
      <c r="N3621" t="inlineStr">
        <is>
          <t>alt</t>
        </is>
      </c>
      <c r="O3621" t="n">
        <v>-40</v>
      </c>
      <c r="P3621" t="n">
        <v>0.02344</v>
      </c>
      <c r="Q3621" t="n">
        <v>15</v>
      </c>
      <c r="R3621" t="n">
        <v>0.02283</v>
      </c>
      <c r="S3621">
        <f>IMAGE("https://mitra.stanford.edu/kundaje/oak/projects/neuro-variants/variant_position/credible/roussos_2024/variant_figures/roussos_2024.infant.GLU/rs9399485_count_position.png",4,220,900)</f>
        <v/>
      </c>
      <c r="T3621">
        <f>IMAGE("https://mitra.stanford.edu/kundaje/oak/projects/neuro-variants/variant_position/credible/roussos_2024/variant_figures/roussos_2024.infant.GLU/rs9399485_profile_position.png",4,220,900)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-0.0428528248</v>
      </c>
      <c r="G3622" t="n">
        <v>0.2104082679032529</v>
      </c>
      <c r="H3622" t="n">
        <v>0.0633378378417052</v>
      </c>
      <c r="I3622" t="n">
        <v>0.0023353723554706</v>
      </c>
      <c r="J3622" t="n">
        <v>0.0378866377124715</v>
      </c>
      <c r="K3622" t="n">
        <v>0.4057783072881045</v>
      </c>
      <c r="L3622" t="b">
        <v>1</v>
      </c>
      <c r="M3622" t="b">
        <v>0</v>
      </c>
      <c r="N3622" t="inlineStr">
        <is>
          <t>ref</t>
        </is>
      </c>
      <c r="O3622" t="n">
        <v>40</v>
      </c>
      <c r="P3622" t="n">
        <v>0.009220000000000001</v>
      </c>
      <c r="Q3622" t="n">
        <v>-25</v>
      </c>
      <c r="R3622" t="n">
        <v>0.01158</v>
      </c>
      <c r="S3622">
        <f>IMAGE("https://mitra.stanford.edu/kundaje/oak/projects/neuro-variants/variant_position/credible/roussos_2024/variant_figures/roussos_2024.infant.GLU/rs9403593_count_position.png",4,220,900)</f>
        <v/>
      </c>
      <c r="T3622">
        <f>IMAGE("https://mitra.stanford.edu/kundaje/oak/projects/neuro-variants/variant_position/credible/roussos_2024/variant_figures/roussos_2024.infant.GLU/rs9403593_profile_position.png",4,220,900)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0.175494676</v>
      </c>
      <c r="G3623" t="n">
        <v>0.0163358705996597</v>
      </c>
      <c r="H3623" t="n">
        <v>0.0277921485342901</v>
      </c>
      <c r="I3623" t="n">
        <v>0.07968063060976401</v>
      </c>
      <c r="J3623" t="n">
        <v>0.0596055909521814</v>
      </c>
      <c r="K3623" t="n">
        <v>0.3089012122525485</v>
      </c>
      <c r="L3623" t="b">
        <v>1</v>
      </c>
      <c r="M3623" t="b">
        <v>0</v>
      </c>
      <c r="N3623" t="inlineStr">
        <is>
          <t>alt</t>
        </is>
      </c>
      <c r="O3623" t="n">
        <v>-65</v>
      </c>
      <c r="P3623" t="n">
        <v>0.01656</v>
      </c>
      <c r="Q3623" t="n">
        <v>50</v>
      </c>
      <c r="R3623" t="n">
        <v>0.089</v>
      </c>
      <c r="S3623">
        <f>IMAGE("https://mitra.stanford.edu/kundaje/oak/projects/neuro-variants/variant_position/credible/roussos_2024/variant_figures/roussos_2024.infant.GLU/rs4131500_count_position.png",4,220,900)</f>
        <v/>
      </c>
      <c r="T3623">
        <f>IMAGE("https://mitra.stanford.edu/kundaje/oak/projects/neuro-variants/variant_position/credible/roussos_2024/variant_figures/roussos_2024.infant.GLU/rs4131500_profile_position.png",4,220,900)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0.0328807414</v>
      </c>
      <c r="G3624" t="n">
        <v>0.2780954847026032</v>
      </c>
      <c r="H3624" t="n">
        <v>0.0127140377643162</v>
      </c>
      <c r="I3624" t="n">
        <v>0.502521061110396</v>
      </c>
      <c r="J3624" t="n">
        <v>0.1820090830926607</v>
      </c>
      <c r="K3624" t="n">
        <v>0.1216485366097471</v>
      </c>
      <c r="L3624" t="b">
        <v>0</v>
      </c>
      <c r="M3624" t="b">
        <v>0</v>
      </c>
      <c r="N3624" t="inlineStr">
        <is>
          <t>alt</t>
        </is>
      </c>
      <c r="O3624" t="n">
        <v>-25</v>
      </c>
      <c r="P3624" t="n">
        <v>0.02176</v>
      </c>
      <c r="Q3624" t="n">
        <v>-60</v>
      </c>
      <c r="R3624" t="n">
        <v>0.2043</v>
      </c>
      <c r="S3624">
        <f>IMAGE("https://mitra.stanford.edu/kundaje/oak/projects/neuro-variants/variant_position/credible/roussos_2024/variant_figures/roussos_2024.infant.GLU/rs6927442_count_position.png",4,220,900)</f>
        <v/>
      </c>
      <c r="T3624">
        <f>IMAGE("https://mitra.stanford.edu/kundaje/oak/projects/neuro-variants/variant_position/credible/roussos_2024/variant_figures/roussos_2024.infant.GLU/rs6927442_profile_position.png",4,220,900)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0.1400117059999999</v>
      </c>
      <c r="G3625" t="n">
        <v>0.0362308083648155</v>
      </c>
      <c r="H3625" t="n">
        <v>0.0204209008222551</v>
      </c>
      <c r="I3625" t="n">
        <v>0.1886144370762133</v>
      </c>
      <c r="J3625" t="n">
        <v>0.0021969179214708</v>
      </c>
      <c r="K3625" t="n">
        <v>0.8637262296986266</v>
      </c>
      <c r="L3625" t="b">
        <v>0</v>
      </c>
      <c r="M3625" t="b">
        <v>0</v>
      </c>
      <c r="N3625" t="inlineStr">
        <is>
          <t>alt</t>
        </is>
      </c>
      <c r="O3625" t="n">
        <v>-90</v>
      </c>
      <c r="P3625" t="n">
        <v>0.01956</v>
      </c>
      <c r="Q3625" t="n">
        <v>-75</v>
      </c>
      <c r="R3625" t="n">
        <v>0.07199999999999999</v>
      </c>
      <c r="S3625">
        <f>IMAGE("https://mitra.stanford.edu/kundaje/oak/projects/neuro-variants/variant_position/credible/roussos_2024/variant_figures/roussos_2024.infant.GLU/rs9376859_count_position.png",4,220,900)</f>
        <v/>
      </c>
      <c r="T3625">
        <f>IMAGE("https://mitra.stanford.edu/kundaje/oak/projects/neuro-variants/variant_position/credible/roussos_2024/variant_figures/roussos_2024.infant.GLU/rs9376859_profile_position.png",4,220,900)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-0.0068530523</v>
      </c>
      <c r="G3626" t="n">
        <v>0.6734819798362621</v>
      </c>
      <c r="H3626" t="n">
        <v>0.009032578224766699</v>
      </c>
      <c r="I3626" t="n">
        <v>0.8278974130621107</v>
      </c>
      <c r="J3626" t="n">
        <v>0.0190546528803544</v>
      </c>
      <c r="K3626" t="n">
        <v>0.5444149661290073</v>
      </c>
      <c r="L3626" t="b">
        <v>0</v>
      </c>
      <c r="M3626" t="b">
        <v>0</v>
      </c>
      <c r="N3626" t="inlineStr">
        <is>
          <t>ref</t>
        </is>
      </c>
      <c r="O3626" t="n">
        <v>-65</v>
      </c>
      <c r="P3626" t="n">
        <v>0.014114</v>
      </c>
      <c r="Q3626" t="n">
        <v>-100</v>
      </c>
      <c r="R3626" t="n">
        <v>0.08704000000000001</v>
      </c>
      <c r="S3626">
        <f>IMAGE("https://mitra.stanford.edu/kundaje/oak/projects/neuro-variants/variant_position/credible/roussos_2024/variant_figures/roussos_2024.infant.GLU/rs2268665_count_position.png",4,220,900)</f>
        <v/>
      </c>
      <c r="T3626">
        <f>IMAGE("https://mitra.stanford.edu/kundaje/oak/projects/neuro-variants/variant_position/credible/roussos_2024/variant_figures/roussos_2024.infant.GLU/rs2268665_profile_position.png",4,220,900)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0.008868906500000001</v>
      </c>
      <c r="G3627" t="n">
        <v>0.5425214810745753</v>
      </c>
      <c r="H3627" t="n">
        <v>0.0113685101696175</v>
      </c>
      <c r="I3627" t="n">
        <v>0.6072417340080816</v>
      </c>
      <c r="J3627" t="n">
        <v>0.1963910139112414</v>
      </c>
      <c r="K3627" t="n">
        <v>0.1122298297122288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0.01605</v>
      </c>
      <c r="Q3627" t="n">
        <v>15</v>
      </c>
      <c r="R3627" t="n">
        <v>0.05627</v>
      </c>
      <c r="S3627">
        <f>IMAGE("https://mitra.stanford.edu/kundaje/oak/projects/neuro-variants/variant_position/credible/roussos_2024/variant_figures/roussos_2024.infant.GLU/rs4896868_count_position.png",4,220,900)</f>
        <v/>
      </c>
      <c r="T3627">
        <f>IMAGE("https://mitra.stanford.edu/kundaje/oak/projects/neuro-variants/variant_position/credible/roussos_2024/variant_figures/roussos_2024.infant.GLU/rs4896868_profile_position.png",4,220,900)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0.008763441479999899</v>
      </c>
      <c r="G3628" t="n">
        <v>0.6265066633829778</v>
      </c>
      <c r="H3628" t="n">
        <v>0.007987436254627301</v>
      </c>
      <c r="I3628" t="n">
        <v>0.8625135266815788</v>
      </c>
      <c r="J3628" t="n">
        <v>0.0144116933794836</v>
      </c>
      <c r="K3628" t="n">
        <v>0.6085531392687202</v>
      </c>
      <c r="L3628" t="b">
        <v>0</v>
      </c>
      <c r="M3628" t="b">
        <v>0</v>
      </c>
      <c r="N3628" t="inlineStr">
        <is>
          <t>alt</t>
        </is>
      </c>
      <c r="O3628" t="n">
        <v>-95</v>
      </c>
      <c r="P3628" t="n">
        <v>0.01848</v>
      </c>
      <c r="Q3628" t="n">
        <v>-90</v>
      </c>
      <c r="R3628" t="n">
        <v>0.1589</v>
      </c>
      <c r="S3628">
        <f>IMAGE("https://mitra.stanford.edu/kundaje/oak/projects/neuro-variants/variant_position/credible/roussos_2024/variant_figures/roussos_2024.infant.GLU/rs2206959_count_position.png",4,220,900)</f>
        <v/>
      </c>
      <c r="T3628">
        <f>IMAGE("https://mitra.stanford.edu/kundaje/oak/projects/neuro-variants/variant_position/credible/roussos_2024/variant_figures/roussos_2024.infant.GLU/rs2206959_profile_position.png",4,220,900)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0.00141276914</v>
      </c>
      <c r="G3629" t="n">
        <v>0.6601757876074006</v>
      </c>
      <c r="H3629" t="n">
        <v>0.048425197369365</v>
      </c>
      <c r="I3629" t="n">
        <v>0.0088211003338025</v>
      </c>
      <c r="J3629" t="n">
        <v>0.1215260477523754</v>
      </c>
      <c r="K3629" t="n">
        <v>0.1782305851475174</v>
      </c>
      <c r="L3629" t="b">
        <v>1</v>
      </c>
      <c r="M3629" t="b">
        <v>1</v>
      </c>
      <c r="N3629" t="inlineStr">
        <is>
          <t>alt</t>
        </is>
      </c>
      <c r="O3629" t="n">
        <v>-70</v>
      </c>
      <c r="P3629" t="n">
        <v>0.2306</v>
      </c>
      <c r="Q3629" t="n">
        <v>-60</v>
      </c>
      <c r="R3629" t="n">
        <v>0.07983</v>
      </c>
      <c r="S3629">
        <f>IMAGE("https://mitra.stanford.edu/kundaje/oak/projects/neuro-variants/variant_position/credible/roussos_2024/variant_figures/roussos_2024.infant.GLU/rs9372017_count_position.png",4,220,900)</f>
        <v/>
      </c>
      <c r="T3629">
        <f>IMAGE("https://mitra.stanford.edu/kundaje/oak/projects/neuro-variants/variant_position/credible/roussos_2024/variant_figures/roussos_2024.infant.GLU/rs9372017_profile_position.png",4,220,900)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0.02536115934</v>
      </c>
      <c r="G3630" t="n">
        <v>0.3837648595247967</v>
      </c>
      <c r="H3630" t="n">
        <v>0.0173903881049774</v>
      </c>
      <c r="I3630" t="n">
        <v>0.2580148043332837</v>
      </c>
      <c r="J3630" t="n">
        <v>0.0241506646971934</v>
      </c>
      <c r="K3630" t="n">
        <v>0.502411552371845</v>
      </c>
      <c r="L3630" t="b">
        <v>0</v>
      </c>
      <c r="M3630" t="b">
        <v>0</v>
      </c>
      <c r="N3630" t="inlineStr">
        <is>
          <t>alt</t>
        </is>
      </c>
      <c r="O3630" t="n">
        <v>-70</v>
      </c>
      <c r="P3630" t="n">
        <v>0.00865</v>
      </c>
      <c r="Q3630" t="n">
        <v>45</v>
      </c>
      <c r="R3630" t="n">
        <v>0.02904</v>
      </c>
      <c r="S3630">
        <f>IMAGE("https://mitra.stanford.edu/kundaje/oak/projects/neuro-variants/variant_position/credible/roussos_2024/variant_figures/roussos_2024.infant.GLU/rs287943_count_position.png",4,220,900)</f>
        <v/>
      </c>
      <c r="T3630">
        <f>IMAGE("https://mitra.stanford.edu/kundaje/oak/projects/neuro-variants/variant_position/credible/roussos_2024/variant_figures/roussos_2024.infant.GLU/rs287943_profile_position.png",4,220,900)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-0.01222599252</v>
      </c>
      <c r="G3631" t="n">
        <v>0.5975767129908126</v>
      </c>
      <c r="H3631" t="n">
        <v>0.0129593292947241</v>
      </c>
      <c r="I3631" t="n">
        <v>0.4917391200554585</v>
      </c>
      <c r="J3631" t="n">
        <v>0.0048457858418394</v>
      </c>
      <c r="K3631" t="n">
        <v>0.7548668335660501</v>
      </c>
      <c r="L3631" t="b">
        <v>0</v>
      </c>
      <c r="M3631" t="b">
        <v>0</v>
      </c>
      <c r="N3631" t="inlineStr">
        <is>
          <t>ref</t>
        </is>
      </c>
      <c r="O3631" t="n">
        <v>-90</v>
      </c>
      <c r="P3631" t="n">
        <v>0.0407</v>
      </c>
      <c r="Q3631" t="n">
        <v>-90</v>
      </c>
      <c r="R3631" t="n">
        <v>0.10394</v>
      </c>
      <c r="S3631">
        <f>IMAGE("https://mitra.stanford.edu/kundaje/oak/projects/neuro-variants/variant_position/credible/roussos_2024/variant_figures/roussos_2024.infant.GLU/rs6928411_count_position.png",4,220,900)</f>
        <v/>
      </c>
      <c r="T3631">
        <f>IMAGE("https://mitra.stanford.edu/kundaje/oak/projects/neuro-variants/variant_position/credible/roussos_2024/variant_figures/roussos_2024.infant.GLU/rs6928411_profile_position.png",4,220,900)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0.00357245938</v>
      </c>
      <c r="G3632" t="n">
        <v>0.7174607889366186</v>
      </c>
      <c r="H3632" t="n">
        <v>0.0090977634145593</v>
      </c>
      <c r="I3632" t="n">
        <v>0.8042765767436247</v>
      </c>
      <c r="J3632" t="n">
        <v>0.2516237130448202</v>
      </c>
      <c r="K3632" t="n">
        <v>0.0862796575174139</v>
      </c>
      <c r="L3632" t="b">
        <v>0</v>
      </c>
      <c r="M3632" t="b">
        <v>0</v>
      </c>
      <c r="N3632" t="inlineStr">
        <is>
          <t>alt</t>
        </is>
      </c>
      <c r="O3632" t="n">
        <v>50</v>
      </c>
      <c r="P3632" t="n">
        <v>0.003397</v>
      </c>
      <c r="Q3632" t="n">
        <v>95</v>
      </c>
      <c r="R3632" t="n">
        <v>0.3853</v>
      </c>
      <c r="S3632">
        <f>IMAGE("https://mitra.stanford.edu/kundaje/oak/projects/neuro-variants/variant_position/credible/roussos_2024/variant_figures/roussos_2024.infant.GLU/rs1407509_count_position.png",4,220,900)</f>
        <v/>
      </c>
      <c r="T3632">
        <f>IMAGE("https://mitra.stanford.edu/kundaje/oak/projects/neuro-variants/variant_position/credible/roussos_2024/variant_figures/roussos_2024.infant.GLU/rs1407509_profile_position.png",4,220,900)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-0.07750417280000001</v>
      </c>
      <c r="G3633" t="n">
        <v>0.0809316879318502</v>
      </c>
      <c r="H3633" t="n">
        <v>0.0141687382800387</v>
      </c>
      <c r="I3633" t="n">
        <v>0.4115565688724715</v>
      </c>
      <c r="J3633" t="n">
        <v>0.0865682664961749</v>
      </c>
      <c r="K3633" t="n">
        <v>0.247073401238975</v>
      </c>
      <c r="L3633" t="b">
        <v>0</v>
      </c>
      <c r="M3633" t="b">
        <v>0</v>
      </c>
      <c r="N3633" t="inlineStr">
        <is>
          <t>ref</t>
        </is>
      </c>
      <c r="O3633" t="n">
        <v>-35</v>
      </c>
      <c r="P3633" t="n">
        <v>0.011475</v>
      </c>
      <c r="Q3633" t="n">
        <v>-100</v>
      </c>
      <c r="R3633" t="n">
        <v>0.1934</v>
      </c>
      <c r="S3633">
        <f>IMAGE("https://mitra.stanford.edu/kundaje/oak/projects/neuro-variants/variant_position/credible/roussos_2024/variant_figures/roussos_2024.infant.GLU/rs147044092_count_position.png",4,220,900)</f>
        <v/>
      </c>
      <c r="T3633">
        <f>IMAGE("https://mitra.stanford.edu/kundaje/oak/projects/neuro-variants/variant_position/credible/roussos_2024/variant_figures/roussos_2024.infant.GLU/rs147044092_profile_position.png",4,220,900)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0.1587254768</v>
      </c>
      <c r="G3634" t="n">
        <v>0.0180998771346272</v>
      </c>
      <c r="H3634" t="n">
        <v>0.0229226249014582</v>
      </c>
      <c r="I3634" t="n">
        <v>0.1298945197949721</v>
      </c>
      <c r="J3634" t="n">
        <v>0.2730792125046848</v>
      </c>
      <c r="K3634" t="n">
        <v>0.07971265354790739</v>
      </c>
      <c r="L3634" t="b">
        <v>1</v>
      </c>
      <c r="M3634" t="b">
        <v>0</v>
      </c>
      <c r="N3634" t="inlineStr">
        <is>
          <t>alt</t>
        </is>
      </c>
      <c r="O3634" t="n">
        <v>-70</v>
      </c>
      <c r="P3634" t="n">
        <v>0.04602</v>
      </c>
      <c r="Q3634" t="n">
        <v>-20</v>
      </c>
      <c r="R3634" t="n">
        <v>0.0503</v>
      </c>
      <c r="S3634">
        <f>IMAGE("https://mitra.stanford.edu/kundaje/oak/projects/neuro-variants/variant_position/credible/roussos_2024/variant_figures/roussos_2024.infant.GLU/rs59034682_count_position.png",4,220,900)</f>
        <v/>
      </c>
      <c r="T3634">
        <f>IMAGE("https://mitra.stanford.edu/kundaje/oak/projects/neuro-variants/variant_position/credible/roussos_2024/variant_figures/roussos_2024.infant.GLU/rs59034682_profile_position.png",4,220,900)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-0.158126048</v>
      </c>
      <c r="G3635" t="n">
        <v>0.0200089260230153</v>
      </c>
      <c r="H3635" t="n">
        <v>0.0310116096864053</v>
      </c>
      <c r="I3635" t="n">
        <v>0.0523542861369448</v>
      </c>
      <c r="J3635" t="n">
        <v>0.0536861482836922</v>
      </c>
      <c r="K3635" t="n">
        <v>0.3351094029468515</v>
      </c>
      <c r="L3635" t="b">
        <v>1</v>
      </c>
      <c r="M3635" t="b">
        <v>0</v>
      </c>
      <c r="N3635" t="inlineStr">
        <is>
          <t>ref</t>
        </is>
      </c>
      <c r="O3635" t="n">
        <v>100</v>
      </c>
      <c r="P3635" t="n">
        <v>0.04382</v>
      </c>
      <c r="Q3635" t="n">
        <v>-75</v>
      </c>
      <c r="R3635" t="n">
        <v>0.0723</v>
      </c>
      <c r="S3635">
        <f>IMAGE("https://mitra.stanford.edu/kundaje/oak/projects/neuro-variants/variant_position/credible/roussos_2024/variant_figures/roussos_2024.infant.GLU/rs113650580_count_position.png",4,220,900)</f>
        <v/>
      </c>
      <c r="T3635">
        <f>IMAGE("https://mitra.stanford.edu/kundaje/oak/projects/neuro-variants/variant_position/credible/roussos_2024/variant_figures/roussos_2024.infant.GLU/rs113650580_profile_position.png",4,220,900)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0.0371324864</v>
      </c>
      <c r="G3636" t="n">
        <v>0.2422943560028712</v>
      </c>
      <c r="H3636" t="n">
        <v>0.0086852947156762</v>
      </c>
      <c r="I3636" t="n">
        <v>0.8578699483021271</v>
      </c>
      <c r="J3636" t="n">
        <v>0.0157565202054718</v>
      </c>
      <c r="K3636" t="n">
        <v>0.5799889067121998</v>
      </c>
      <c r="L3636" t="b">
        <v>0</v>
      </c>
      <c r="M3636" t="b">
        <v>0</v>
      </c>
      <c r="N3636" t="inlineStr">
        <is>
          <t>alt</t>
        </is>
      </c>
      <c r="O3636" t="n">
        <v>-70</v>
      </c>
      <c r="P3636" t="n">
        <v>0.004654</v>
      </c>
      <c r="Q3636" t="n">
        <v>90</v>
      </c>
      <c r="R3636" t="n">
        <v>0.11444</v>
      </c>
      <c r="S3636">
        <f>IMAGE("https://mitra.stanford.edu/kundaje/oak/projects/neuro-variants/variant_position/credible/roussos_2024/variant_figures/roussos_2024.infant.GLU/rs79222572_count_position.png",4,220,900)</f>
        <v/>
      </c>
      <c r="T3636">
        <f>IMAGE("https://mitra.stanford.edu/kundaje/oak/projects/neuro-variants/variant_position/credible/roussos_2024/variant_figures/roussos_2024.infant.GLU/rs79222572_profile_position.png",4,220,900)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0.0010483881</v>
      </c>
      <c r="G3637" t="n">
        <v>0.5007203512103015</v>
      </c>
      <c r="H3637" t="n">
        <v>0.0265031984501926</v>
      </c>
      <c r="I3637" t="n">
        <v>0.0845976336541609</v>
      </c>
      <c r="J3637" t="n">
        <v>0.0966092726911968</v>
      </c>
      <c r="K3637" t="n">
        <v>0.2131377335732523</v>
      </c>
      <c r="L3637" t="b">
        <v>0</v>
      </c>
      <c r="M3637" t="b">
        <v>0</v>
      </c>
      <c r="N3637" t="inlineStr">
        <is>
          <t>alt</t>
        </is>
      </c>
      <c r="O3637" t="n">
        <v>15</v>
      </c>
      <c r="P3637" t="n">
        <v>0.0003662</v>
      </c>
      <c r="Q3637" t="n">
        <v>-85</v>
      </c>
      <c r="R3637" t="n">
        <v>0.0581</v>
      </c>
      <c r="S3637">
        <f>IMAGE("https://mitra.stanford.edu/kundaje/oak/projects/neuro-variants/variant_position/credible/roussos_2024/variant_figures/roussos_2024.infant.GLU/rs55855028_count_position.png",4,220,900)</f>
        <v/>
      </c>
      <c r="T3637">
        <f>IMAGE("https://mitra.stanford.edu/kundaje/oak/projects/neuro-variants/variant_position/credible/roussos_2024/variant_figures/roussos_2024.infant.GLU/rs55855028_profile_position.png",4,220,900)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0.0081497091999999</v>
      </c>
      <c r="G3638" t="n">
        <v>0.683988607253961</v>
      </c>
      <c r="H3638" t="n">
        <v>0.0125163269233692</v>
      </c>
      <c r="I3638" t="n">
        <v>0.5196901046584779</v>
      </c>
      <c r="J3638" t="n">
        <v>0.0067252364470115</v>
      </c>
      <c r="K3638" t="n">
        <v>0.7252363504391103</v>
      </c>
      <c r="L3638" t="b">
        <v>0</v>
      </c>
      <c r="M3638" t="b">
        <v>0</v>
      </c>
      <c r="N3638" t="inlineStr">
        <is>
          <t>alt</t>
        </is>
      </c>
      <c r="O3638" t="n">
        <v>100</v>
      </c>
      <c r="P3638" t="n">
        <v>0.1438</v>
      </c>
      <c r="Q3638" t="n">
        <v>100</v>
      </c>
      <c r="R3638" t="n">
        <v>0.04803</v>
      </c>
      <c r="S3638">
        <f>IMAGE("https://mitra.stanford.edu/kundaje/oak/projects/neuro-variants/variant_position/credible/roussos_2024/variant_figures/roussos_2024.infant.GLU/rs75952763_count_position.png",4,220,900)</f>
        <v/>
      </c>
      <c r="T3638">
        <f>IMAGE("https://mitra.stanford.edu/kundaje/oak/projects/neuro-variants/variant_position/credible/roussos_2024/variant_figures/roussos_2024.infant.GLU/rs75952763_profile_position.png",4,220,900)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-0.0099589998</v>
      </c>
      <c r="G3639" t="n">
        <v>0.64161764709826</v>
      </c>
      <c r="H3639" t="n">
        <v>0.0341374829013462</v>
      </c>
      <c r="I3639" t="n">
        <v>0.0375461588404579</v>
      </c>
      <c r="J3639" t="n">
        <v>0.002988381578077</v>
      </c>
      <c r="K3639" t="n">
        <v>0.8161983049219991</v>
      </c>
      <c r="L3639" t="b">
        <v>0</v>
      </c>
      <c r="M3639" t="b">
        <v>0</v>
      </c>
      <c r="N3639" t="inlineStr">
        <is>
          <t>ref</t>
        </is>
      </c>
      <c r="O3639" t="n">
        <v>-55</v>
      </c>
      <c r="P3639" t="n">
        <v>0.00415</v>
      </c>
      <c r="Q3639" t="n">
        <v>-65</v>
      </c>
      <c r="R3639" t="n">
        <v>0.08513999999999999</v>
      </c>
      <c r="S3639">
        <f>IMAGE("https://mitra.stanford.edu/kundaje/oak/projects/neuro-variants/variant_position/credible/roussos_2024/variant_figures/roussos_2024.infant.GLU/rs9347029_count_position.png",4,220,900)</f>
        <v/>
      </c>
      <c r="T3639">
        <f>IMAGE("https://mitra.stanford.edu/kundaje/oak/projects/neuro-variants/variant_position/credible/roussos_2024/variant_figures/roussos_2024.infant.GLU/rs9347029_profile_position.png",4,220,900)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-0.0653655233999999</v>
      </c>
      <c r="G3640" t="n">
        <v>0.112312052355884</v>
      </c>
      <c r="H3640" t="n">
        <v>0.009595767225834001</v>
      </c>
      <c r="I3640" t="n">
        <v>0.7588901564683892</v>
      </c>
      <c r="J3640" t="n">
        <v>0.0559359774245463</v>
      </c>
      <c r="K3640" t="n">
        <v>0.3243422273363722</v>
      </c>
      <c r="L3640" t="b">
        <v>0</v>
      </c>
      <c r="M3640" t="b">
        <v>0</v>
      </c>
      <c r="N3640" t="inlineStr">
        <is>
          <t>ref</t>
        </is>
      </c>
      <c r="O3640" t="n">
        <v>70</v>
      </c>
      <c r="P3640" t="n">
        <v>0.1536</v>
      </c>
      <c r="Q3640" t="n">
        <v>55</v>
      </c>
      <c r="R3640" t="n">
        <v>0.06322999999999999</v>
      </c>
      <c r="S3640">
        <f>IMAGE("https://mitra.stanford.edu/kundaje/oak/projects/neuro-variants/variant_position/credible/roussos_2024/variant_figures/roussos_2024.infant.GLU/rs1912669_count_position.png",4,220,900)</f>
        <v/>
      </c>
      <c r="T3640">
        <f>IMAGE("https://mitra.stanford.edu/kundaje/oak/projects/neuro-variants/variant_position/credible/roussos_2024/variant_figures/roussos_2024.infant.GLU/rs1912669_profile_position.png",4,220,900)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-0.02167103774</v>
      </c>
      <c r="G3641" t="n">
        <v>0.4387030008593975</v>
      </c>
      <c r="H3641" t="n">
        <v>0.0108007322630232</v>
      </c>
      <c r="I3641" t="n">
        <v>0.6581639905325948</v>
      </c>
      <c r="J3641" t="n">
        <v>0.5185982936131748</v>
      </c>
      <c r="K3641" t="n">
        <v>0.0287046003481286</v>
      </c>
      <c r="L3641" t="b">
        <v>0</v>
      </c>
      <c r="M3641" t="b">
        <v>0</v>
      </c>
      <c r="N3641" t="inlineStr">
        <is>
          <t>ref</t>
        </is>
      </c>
      <c r="O3641" t="n">
        <v>-100</v>
      </c>
      <c r="P3641" t="n">
        <v>0.03032</v>
      </c>
      <c r="Q3641" t="n">
        <v>15</v>
      </c>
      <c r="R3641" t="n">
        <v>0.07543999999999999</v>
      </c>
      <c r="S3641">
        <f>IMAGE("https://mitra.stanford.edu/kundaje/oak/projects/neuro-variants/variant_position/credible/roussos_2024/variant_figures/roussos_2024.infant.GLU/rs978164_count_position.png",4,220,900)</f>
        <v/>
      </c>
      <c r="T3641">
        <f>IMAGE("https://mitra.stanford.edu/kundaje/oak/projects/neuro-variants/variant_position/credible/roussos_2024/variant_figures/roussos_2024.infant.GLU/rs978164_profile_position.png",4,220,900)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-0.0272266852</v>
      </c>
      <c r="G3642" t="n">
        <v>0.2781935220687677</v>
      </c>
      <c r="H3642" t="n">
        <v>0.0120180245096316</v>
      </c>
      <c r="I3642" t="n">
        <v>0.543276503717786</v>
      </c>
      <c r="J3642" t="n">
        <v>0.0251504662801207</v>
      </c>
      <c r="K3642" t="n">
        <v>0.4959053355910132</v>
      </c>
      <c r="L3642" t="b">
        <v>0</v>
      </c>
      <c r="M3642" t="b">
        <v>0</v>
      </c>
      <c r="N3642" t="inlineStr">
        <is>
          <t>ref</t>
        </is>
      </c>
      <c r="O3642" t="n">
        <v>-35</v>
      </c>
      <c r="P3642" t="n">
        <v>0.01378</v>
      </c>
      <c r="Q3642" t="n">
        <v>10</v>
      </c>
      <c r="R3642" t="n">
        <v>0.01587</v>
      </c>
      <c r="S3642">
        <f>IMAGE("https://mitra.stanford.edu/kundaje/oak/projects/neuro-variants/variant_position/credible/roussos_2024/variant_figures/roussos_2024.infant.GLU/rs1467085_count_position.png",4,220,900)</f>
        <v/>
      </c>
      <c r="T3642">
        <f>IMAGE("https://mitra.stanford.edu/kundaje/oak/projects/neuro-variants/variant_position/credible/roussos_2024/variant_figures/roussos_2024.infant.GLU/rs1467085_profile_position.png",4,220,900)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-0.1178826852</v>
      </c>
      <c r="G3643" t="n">
        <v>0.0461105006641441</v>
      </c>
      <c r="H3643" t="n">
        <v>0.0415275146828852</v>
      </c>
      <c r="I3643" t="n">
        <v>0.0172391420145234</v>
      </c>
      <c r="J3643" t="n">
        <v>0.0508410679247778</v>
      </c>
      <c r="K3643" t="n">
        <v>0.3427884437907366</v>
      </c>
      <c r="L3643" t="b">
        <v>1</v>
      </c>
      <c r="M3643" t="b">
        <v>0</v>
      </c>
      <c r="N3643" t="inlineStr">
        <is>
          <t>ref</t>
        </is>
      </c>
      <c r="O3643" t="n">
        <v>65</v>
      </c>
      <c r="P3643" t="n">
        <v>0.04297</v>
      </c>
      <c r="Q3643" t="n">
        <v>0</v>
      </c>
      <c r="R3643" t="n">
        <v>0</v>
      </c>
      <c r="S3643">
        <f>IMAGE("https://mitra.stanford.edu/kundaje/oak/projects/neuro-variants/variant_position/credible/roussos_2024/variant_figures/roussos_2024.infant.GLU/rs1995942_count_position.png",4,220,900)</f>
        <v/>
      </c>
      <c r="T3643">
        <f>IMAGE("https://mitra.stanford.edu/kundaje/oak/projects/neuro-variants/variant_position/credible/roussos_2024/variant_figures/roussos_2024.infant.GLU/rs1995942_profile_position.png",4,220,900)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-0.02710283</v>
      </c>
      <c r="G3644" t="n">
        <v>0.3591819910417901</v>
      </c>
      <c r="H3644" t="n">
        <v>0.0154795355469734</v>
      </c>
      <c r="I3644" t="n">
        <v>0.3393318729556533</v>
      </c>
      <c r="J3644" t="n">
        <v>0.1638076236248594</v>
      </c>
      <c r="K3644" t="n">
        <v>0.1342041904527535</v>
      </c>
      <c r="L3644" t="b">
        <v>0</v>
      </c>
      <c r="M3644" t="b">
        <v>0</v>
      </c>
      <c r="N3644" t="inlineStr">
        <is>
          <t>ref</t>
        </is>
      </c>
      <c r="O3644" t="n">
        <v>-40</v>
      </c>
      <c r="P3644" t="n">
        <v>0.0007744</v>
      </c>
      <c r="Q3644" t="n">
        <v>-30</v>
      </c>
      <c r="R3644" t="n">
        <v>0.02179</v>
      </c>
      <c r="S3644">
        <f>IMAGE("https://mitra.stanford.edu/kundaje/oak/projects/neuro-variants/variant_position/credible/roussos_2024/variant_figures/roussos_2024.infant.GLU/rs2092778_count_position.png",4,220,900)</f>
        <v/>
      </c>
      <c r="T3644">
        <f>IMAGE("https://mitra.stanford.edu/kundaje/oak/projects/neuro-variants/variant_position/credible/roussos_2024/variant_figures/roussos_2024.infant.GLU/rs2092778_profile_position.png",4,220,900)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-0.0373116756</v>
      </c>
      <c r="G3645" t="n">
        <v>0.2625082156949538</v>
      </c>
      <c r="H3645" t="n">
        <v>0.0100362159142919</v>
      </c>
      <c r="I3645" t="n">
        <v>0.7278806400480501</v>
      </c>
      <c r="J3645" t="n">
        <v>0.1558874754734451</v>
      </c>
      <c r="K3645" t="n">
        <v>0.1412368529983981</v>
      </c>
      <c r="L3645" t="b">
        <v>0</v>
      </c>
      <c r="M3645" t="b">
        <v>0</v>
      </c>
      <c r="N3645" t="inlineStr">
        <is>
          <t>ref</t>
        </is>
      </c>
      <c r="O3645" t="n">
        <v>-5</v>
      </c>
      <c r="P3645" t="n">
        <v>0.000309</v>
      </c>
      <c r="Q3645" t="n">
        <v>90</v>
      </c>
      <c r="R3645" t="n">
        <v>0.04028</v>
      </c>
      <c r="S3645">
        <f>IMAGE("https://mitra.stanford.edu/kundaje/oak/projects/neuro-variants/variant_position/credible/roussos_2024/variant_figures/roussos_2024.infant.GLU/rs6914386_count_position.png",4,220,900)</f>
        <v/>
      </c>
      <c r="T3645">
        <f>IMAGE("https://mitra.stanford.edu/kundaje/oak/projects/neuro-variants/variant_position/credible/roussos_2024/variant_figures/roussos_2024.infant.GLU/rs6914386_profile_position.png",4,220,900)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-0.07349011559999991</v>
      </c>
      <c r="G3646" t="n">
        <v>0.0973622641985739</v>
      </c>
      <c r="H3646" t="n">
        <v>0.0199307570778649</v>
      </c>
      <c r="I3646" t="n">
        <v>0.1894861737347298</v>
      </c>
      <c r="J3646" t="n">
        <v>0.0155294428889525</v>
      </c>
      <c r="K3646" t="n">
        <v>0.5937758849372498</v>
      </c>
      <c r="L3646" t="b">
        <v>0</v>
      </c>
      <c r="M3646" t="b">
        <v>0</v>
      </c>
      <c r="N3646" t="inlineStr">
        <is>
          <t>ref</t>
        </is>
      </c>
      <c r="O3646" t="n">
        <v>35</v>
      </c>
      <c r="P3646" t="n">
        <v>0.005768</v>
      </c>
      <c r="Q3646" t="n">
        <v>60</v>
      </c>
      <c r="R3646" t="n">
        <v>0.0552</v>
      </c>
      <c r="S3646">
        <f>IMAGE("https://mitra.stanford.edu/kundaje/oak/projects/neuro-variants/variant_position/credible/roussos_2024/variant_figures/roussos_2024.infant.GLU/rs78450636_count_position.png",4,220,900)</f>
        <v/>
      </c>
      <c r="T3646">
        <f>IMAGE("https://mitra.stanford.edu/kundaje/oak/projects/neuro-variants/variant_position/credible/roussos_2024/variant_figures/roussos_2024.infant.GLU/rs78450636_profile_position.png",4,220,900)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-0.0950978911999999</v>
      </c>
      <c r="G3647" t="n">
        <v>0.0590338418625239</v>
      </c>
      <c r="H3647" t="n">
        <v>0.0161164018159056</v>
      </c>
      <c r="I3647" t="n">
        <v>0.3191507511092931</v>
      </c>
      <c r="J3647" t="n">
        <v>0.2641140677704534</v>
      </c>
      <c r="K3647" t="n">
        <v>0.08407680470061279</v>
      </c>
      <c r="L3647" t="b">
        <v>0</v>
      </c>
      <c r="M3647" t="b">
        <v>0</v>
      </c>
      <c r="N3647" t="inlineStr">
        <is>
          <t>ref</t>
        </is>
      </c>
      <c r="O3647" t="n">
        <v>-95</v>
      </c>
      <c r="P3647" t="n">
        <v>0.004395</v>
      </c>
      <c r="Q3647" t="n">
        <v>55</v>
      </c>
      <c r="R3647" t="n">
        <v>0.04468</v>
      </c>
      <c r="S3647">
        <f>IMAGE("https://mitra.stanford.edu/kundaje/oak/projects/neuro-variants/variant_position/credible/roussos_2024/variant_figures/roussos_2024.infant.GLU/rs9366218_count_position.png",4,220,900)</f>
        <v/>
      </c>
      <c r="T3647">
        <f>IMAGE("https://mitra.stanford.edu/kundaje/oak/projects/neuro-variants/variant_position/credible/roussos_2024/variant_figures/roussos_2024.infant.GLU/rs9366218_profile_position.png",4,220,900)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-0.0483627099999999</v>
      </c>
      <c r="G3648" t="n">
        <v>0.1815380049713435</v>
      </c>
      <c r="H3648" t="n">
        <v>0.0116953455937492</v>
      </c>
      <c r="I3648" t="n">
        <v>0.5691572164168857</v>
      </c>
      <c r="J3648" t="n">
        <v>0.1424855045305231</v>
      </c>
      <c r="K3648" t="n">
        <v>0.1612425901225443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0.07149999999999999</v>
      </c>
      <c r="Q3648" t="n">
        <v>100</v>
      </c>
      <c r="R3648" t="n">
        <v>0.2803</v>
      </c>
      <c r="S3648">
        <f>IMAGE("https://mitra.stanford.edu/kundaje/oak/projects/neuro-variants/variant_position/credible/roussos_2024/variant_figures/roussos_2024.infant.GLU/rs10081152_count_position.png",4,220,900)</f>
        <v/>
      </c>
      <c r="T3648">
        <f>IMAGE("https://mitra.stanford.edu/kundaje/oak/projects/neuro-variants/variant_position/credible/roussos_2024/variant_figures/roussos_2024.infant.GLU/rs10081152_profile_position.png",4,220,900)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0.0467568561999999</v>
      </c>
      <c r="G3649" t="n">
        <v>0.1837389834748061</v>
      </c>
      <c r="H3649" t="n">
        <v>0.0167444946509724</v>
      </c>
      <c r="I3649" t="n">
        <v>0.2858130665446738</v>
      </c>
      <c r="J3649" t="n">
        <v>0.2106594060715624</v>
      </c>
      <c r="K3649" t="n">
        <v>0.1108257168304379</v>
      </c>
      <c r="L3649" t="b">
        <v>0</v>
      </c>
      <c r="M3649" t="b">
        <v>0</v>
      </c>
      <c r="N3649" t="inlineStr">
        <is>
          <t>alt</t>
        </is>
      </c>
      <c r="O3649" t="n">
        <v>-80</v>
      </c>
      <c r="P3649" t="n">
        <v>0.01543</v>
      </c>
      <c r="Q3649" t="n">
        <v>-80</v>
      </c>
      <c r="R3649" t="n">
        <v>0.2654</v>
      </c>
      <c r="S3649">
        <f>IMAGE("https://mitra.stanford.edu/kundaje/oak/projects/neuro-variants/variant_position/credible/roussos_2024/variant_figures/roussos_2024.infant.GLU/rs12532128_count_position.png",4,220,900)</f>
        <v/>
      </c>
      <c r="T3649">
        <f>IMAGE("https://mitra.stanford.edu/kundaje/oak/projects/neuro-variants/variant_position/credible/roussos_2024/variant_figures/roussos_2024.infant.GLU/rs12532128_profile_position.png",4,220,900)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-0.06276673499999991</v>
      </c>
      <c r="G3650" t="n">
        <v>0.116509372500655</v>
      </c>
      <c r="H3650" t="n">
        <v>0.0156327889879713</v>
      </c>
      <c r="I3650" t="n">
        <v>0.330762454831802</v>
      </c>
      <c r="J3650" t="n">
        <v>0.650368173901541</v>
      </c>
      <c r="K3650" t="n">
        <v>0.0167662777949251</v>
      </c>
      <c r="L3650" t="b">
        <v>0</v>
      </c>
      <c r="M3650" t="b">
        <v>0</v>
      </c>
      <c r="N3650" t="inlineStr">
        <is>
          <t>ref</t>
        </is>
      </c>
      <c r="O3650" t="n">
        <v>95</v>
      </c>
      <c r="P3650" t="n">
        <v>0.01857</v>
      </c>
      <c r="Q3650" t="n">
        <v>95</v>
      </c>
      <c r="R3650" t="n">
        <v>0.177</v>
      </c>
      <c r="S3650">
        <f>IMAGE("https://mitra.stanford.edu/kundaje/oak/projects/neuro-variants/variant_position/credible/roussos_2024/variant_figures/roussos_2024.infant.GLU/rs4236277_count_position.png",4,220,900)</f>
        <v/>
      </c>
      <c r="T3650">
        <f>IMAGE("https://mitra.stanford.edu/kundaje/oak/projects/neuro-variants/variant_position/credible/roussos_2024/variant_figures/roussos_2024.infant.GLU/rs4236277_profile_position.png",4,220,900)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-0.00402640478</v>
      </c>
      <c r="G3651" t="n">
        <v>0.5464274761986369</v>
      </c>
      <c r="H3651" t="n">
        <v>0.014231334575718</v>
      </c>
      <c r="I3651" t="n">
        <v>0.4035546513848254</v>
      </c>
      <c r="J3651" t="n">
        <v>0.79595339403426</v>
      </c>
      <c r="K3651" t="n">
        <v>0.0074361176187316</v>
      </c>
      <c r="L3651" t="b">
        <v>0</v>
      </c>
      <c r="M3651" t="b">
        <v>0</v>
      </c>
      <c r="N3651" t="inlineStr">
        <is>
          <t>ref</t>
        </is>
      </c>
      <c r="O3651" t="n">
        <v>-30</v>
      </c>
      <c r="P3651" t="n">
        <v>0.00201</v>
      </c>
      <c r="Q3651" t="n">
        <v>-10</v>
      </c>
      <c r="R3651" t="n">
        <v>0.013916</v>
      </c>
      <c r="S3651">
        <f>IMAGE("https://mitra.stanford.edu/kundaje/oak/projects/neuro-variants/variant_position/credible/roussos_2024/variant_figures/roussos_2024.infant.GLU/rs12699439_count_position.png",4,220,900)</f>
        <v/>
      </c>
      <c r="T3651">
        <f>IMAGE("https://mitra.stanford.edu/kundaje/oak/projects/neuro-variants/variant_position/credible/roussos_2024/variant_figures/roussos_2024.infant.GLU/rs12699439_profile_position.png",4,220,900)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0.0674727878</v>
      </c>
      <c r="G3652" t="n">
        <v>0.101434646122576</v>
      </c>
      <c r="H3652" t="n">
        <v>0.0096190956182931</v>
      </c>
      <c r="I3652" t="n">
        <v>0.7472794581444159</v>
      </c>
      <c r="J3652" t="n">
        <v>0.4416400273374633</v>
      </c>
      <c r="K3652" t="n">
        <v>0.0388742336376031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0.01376</v>
      </c>
      <c r="Q3652" t="n">
        <v>100</v>
      </c>
      <c r="R3652" t="n">
        <v>0.03992</v>
      </c>
      <c r="S3652">
        <f>IMAGE("https://mitra.stanford.edu/kundaje/oak/projects/neuro-variants/variant_position/credible/roussos_2024/variant_figures/roussos_2024.infant.GLU/rs79606759_count_position.png",4,220,900)</f>
        <v/>
      </c>
      <c r="T3652">
        <f>IMAGE("https://mitra.stanford.edu/kundaje/oak/projects/neuro-variants/variant_position/credible/roussos_2024/variant_figures/roussos_2024.infant.GLU/rs79606759_profile_position.png",4,220,900)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0.084239203</v>
      </c>
      <c r="G3653" t="n">
        <v>0.0681619556776548</v>
      </c>
      <c r="H3653" t="n">
        <v>0.0491016696530351</v>
      </c>
      <c r="I3653" t="n">
        <v>0.008168432282442</v>
      </c>
      <c r="J3653" t="n">
        <v>0.5152207941092175</v>
      </c>
      <c r="K3653" t="n">
        <v>0.0293866609626059</v>
      </c>
      <c r="L3653" t="b">
        <v>1</v>
      </c>
      <c r="M3653" t="b">
        <v>1</v>
      </c>
      <c r="N3653" t="inlineStr">
        <is>
          <t>alt</t>
        </is>
      </c>
      <c r="O3653" t="n">
        <v>35</v>
      </c>
      <c r="P3653" t="n">
        <v>0.00708</v>
      </c>
      <c r="Q3653" t="n">
        <v>60</v>
      </c>
      <c r="R3653" t="n">
        <v>0.05054</v>
      </c>
      <c r="S3653">
        <f>IMAGE("https://mitra.stanford.edu/kundaje/oak/projects/neuro-variants/variant_position/credible/roussos_2024/variant_figures/roussos_2024.infant.GLU/rs76150572_count_position.png",4,220,900)</f>
        <v/>
      </c>
      <c r="T3653">
        <f>IMAGE("https://mitra.stanford.edu/kundaje/oak/projects/neuro-variants/variant_position/credible/roussos_2024/variant_figures/roussos_2024.infant.GLU/rs76150572_profile_position.png",4,220,900)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0.1230751212</v>
      </c>
      <c r="G3654" t="n">
        <v>0.0364043317144705</v>
      </c>
      <c r="H3654" t="n">
        <v>0.0189387758027742</v>
      </c>
      <c r="I3654" t="n">
        <v>0.2261880737469086</v>
      </c>
      <c r="J3654" t="n">
        <v>0.0312286426067593</v>
      </c>
      <c r="K3654" t="n">
        <v>0.4473729770670329</v>
      </c>
      <c r="L3654" t="b">
        <v>0</v>
      </c>
      <c r="M3654" t="b">
        <v>0</v>
      </c>
      <c r="N3654" t="inlineStr">
        <is>
          <t>alt</t>
        </is>
      </c>
      <c r="O3654" t="n">
        <v>100</v>
      </c>
      <c r="P3654" t="n">
        <v>0.00698</v>
      </c>
      <c r="Q3654" t="n">
        <v>-70</v>
      </c>
      <c r="R3654" t="n">
        <v>0.03717</v>
      </c>
      <c r="S3654">
        <f>IMAGE("https://mitra.stanford.edu/kundaje/oak/projects/neuro-variants/variant_position/credible/roussos_2024/variant_figures/roussos_2024.infant.GLU/rs117831773_count_position.png",4,220,900)</f>
        <v/>
      </c>
      <c r="T3654">
        <f>IMAGE("https://mitra.stanford.edu/kundaje/oak/projects/neuro-variants/variant_position/credible/roussos_2024/variant_figures/roussos_2024.infant.GLU/rs117831773_profile_position.png",4,220,900)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-0.0194877877799999</v>
      </c>
      <c r="G3655" t="n">
        <v>0.4720677279587881</v>
      </c>
      <c r="H3655" t="n">
        <v>0.0112275499521528</v>
      </c>
      <c r="I3655" t="n">
        <v>0.6253420609018296</v>
      </c>
      <c r="J3655" t="n">
        <v>0.0301119954143609</v>
      </c>
      <c r="K3655" t="n">
        <v>0.4539811189800024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0.001495</v>
      </c>
      <c r="Q3655" t="n">
        <v>100</v>
      </c>
      <c r="R3655" t="n">
        <v>0.04834</v>
      </c>
      <c r="S3655">
        <f>IMAGE("https://mitra.stanford.edu/kundaje/oak/projects/neuro-variants/variant_position/credible/roussos_2024/variant_figures/roussos_2024.infant.GLU/rs75285243_count_position.png",4,220,900)</f>
        <v/>
      </c>
      <c r="T3655">
        <f>IMAGE("https://mitra.stanford.edu/kundaje/oak/projects/neuro-variants/variant_position/credible/roussos_2024/variant_figures/roussos_2024.infant.GLU/rs75285243_profile_position.png",4,220,900)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0.08893944500000001</v>
      </c>
      <c r="G3656" t="n">
        <v>0.0614618714508982</v>
      </c>
      <c r="H3656" t="n">
        <v>0.0130523592158014</v>
      </c>
      <c r="I3656" t="n">
        <v>0.4781080731213482</v>
      </c>
      <c r="J3656" t="n">
        <v>0.0231916488458739</v>
      </c>
      <c r="K3656" t="n">
        <v>0.5166170293338881</v>
      </c>
      <c r="L3656" t="b">
        <v>0</v>
      </c>
      <c r="M3656" t="b">
        <v>0</v>
      </c>
      <c r="N3656" t="inlineStr">
        <is>
          <t>alt</t>
        </is>
      </c>
      <c r="O3656" t="n">
        <v>100</v>
      </c>
      <c r="P3656" t="n">
        <v>0.003258</v>
      </c>
      <c r="Q3656" t="n">
        <v>-40</v>
      </c>
      <c r="R3656" t="n">
        <v>0.0293</v>
      </c>
      <c r="S3656">
        <f>IMAGE("https://mitra.stanford.edu/kundaje/oak/projects/neuro-variants/variant_position/credible/roussos_2024/variant_figures/roussos_2024.infant.GLU/rs76124438_count_position.png",4,220,900)</f>
        <v/>
      </c>
      <c r="T3656">
        <f>IMAGE("https://mitra.stanford.edu/kundaje/oak/projects/neuro-variants/variant_position/credible/roussos_2024/variant_figures/roussos_2024.infant.GLU/rs76124438_profile_position.png",4,220,900)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-0.3113022039999999</v>
      </c>
      <c r="G3657" t="n">
        <v>0.0027134173877066</v>
      </c>
      <c r="H3657" t="n">
        <v>0.0459683859039425</v>
      </c>
      <c r="I3657" t="n">
        <v>0.0111169466384622</v>
      </c>
      <c r="J3657" t="n">
        <v>0.3255627328644811</v>
      </c>
      <c r="K3657" t="n">
        <v>0.062063910645856</v>
      </c>
      <c r="L3657" t="b">
        <v>1</v>
      </c>
      <c r="M3657" t="b">
        <v>1</v>
      </c>
      <c r="N3657" t="inlineStr">
        <is>
          <t>ref</t>
        </is>
      </c>
      <c r="O3657" t="n">
        <v>-35</v>
      </c>
      <c r="P3657" t="n">
        <v>0.001068</v>
      </c>
      <c r="Q3657" t="n">
        <v>100</v>
      </c>
      <c r="R3657" t="n">
        <v>0.2056</v>
      </c>
      <c r="S3657">
        <f>IMAGE("https://mitra.stanford.edu/kundaje/oak/projects/neuro-variants/variant_position/credible/roussos_2024/variant_figures/roussos_2024.infant.GLU/rs112393694_count_position.png",4,220,900)</f>
        <v/>
      </c>
      <c r="T3657">
        <f>IMAGE("https://mitra.stanford.edu/kundaje/oak/projects/neuro-variants/variant_position/credible/roussos_2024/variant_figures/roussos_2024.infant.GLU/rs112393694_profile_position.png",4,220,900)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-0.3255262319999999</v>
      </c>
      <c r="G3658" t="n">
        <v>0.0023679317376703</v>
      </c>
      <c r="H3658" t="n">
        <v>0.0434429013914638</v>
      </c>
      <c r="I3658" t="n">
        <v>0.0148710283006234</v>
      </c>
      <c r="J3658" t="n">
        <v>0.2733625079917987</v>
      </c>
      <c r="K3658" t="n">
        <v>0.0779737525716169</v>
      </c>
      <c r="L3658" t="b">
        <v>1</v>
      </c>
      <c r="M3658" t="b">
        <v>1</v>
      </c>
      <c r="N3658" t="inlineStr">
        <is>
          <t>ref</t>
        </is>
      </c>
      <c r="O3658" t="n">
        <v>75</v>
      </c>
      <c r="P3658" t="n">
        <v>0.04047</v>
      </c>
      <c r="Q3658" t="n">
        <v>-70</v>
      </c>
      <c r="R3658" t="n">
        <v>0.0635</v>
      </c>
      <c r="S3658">
        <f>IMAGE("https://mitra.stanford.edu/kundaje/oak/projects/neuro-variants/variant_position/credible/roussos_2024/variant_figures/roussos_2024.infant.GLU/rs79231966_count_position.png",4,220,900)</f>
        <v/>
      </c>
      <c r="T3658">
        <f>IMAGE("https://mitra.stanford.edu/kundaje/oak/projects/neuro-variants/variant_position/credible/roussos_2024/variant_figures/roussos_2024.infant.GLU/rs79231966_profile_position.png",4,220,900)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-0.0063497650399999</v>
      </c>
      <c r="G3659" t="n">
        <v>0.6273651842923149</v>
      </c>
      <c r="H3659" t="n">
        <v>0.008541545262258201</v>
      </c>
      <c r="I3659" t="n">
        <v>0.8565662670483877</v>
      </c>
      <c r="J3659" t="n">
        <v>0.0673846425185739</v>
      </c>
      <c r="K3659" t="n">
        <v>0.2803269560185638</v>
      </c>
      <c r="L3659" t="b">
        <v>0</v>
      </c>
      <c r="M3659" t="b">
        <v>0</v>
      </c>
      <c r="N3659" t="inlineStr">
        <is>
          <t>ref</t>
        </is>
      </c>
      <c r="O3659" t="n">
        <v>55</v>
      </c>
      <c r="P3659" t="n">
        <v>0.0097</v>
      </c>
      <c r="Q3659" t="n">
        <v>0</v>
      </c>
      <c r="R3659" t="n">
        <v>0</v>
      </c>
      <c r="S3659">
        <f>IMAGE("https://mitra.stanford.edu/kundaje/oak/projects/neuro-variants/variant_position/credible/roussos_2024/variant_figures/roussos_2024.infant.GLU/rs11972718_count_position.png",4,220,900)</f>
        <v/>
      </c>
      <c r="T3659">
        <f>IMAGE("https://mitra.stanford.edu/kundaje/oak/projects/neuro-variants/variant_position/credible/roussos_2024/variant_figures/roussos_2024.infant.GLU/rs11972718_profile_position.png",4,220,900)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0.0464165963999999</v>
      </c>
      <c r="G3660" t="n">
        <v>0.1798097911079287</v>
      </c>
      <c r="H3660" t="n">
        <v>0.011706888565315</v>
      </c>
      <c r="I3660" t="n">
        <v>0.5804885694496974</v>
      </c>
      <c r="J3660" t="n">
        <v>0.0349302233294384</v>
      </c>
      <c r="K3660" t="n">
        <v>0.4250019683473331</v>
      </c>
      <c r="L3660" t="b">
        <v>0</v>
      </c>
      <c r="M3660" t="b">
        <v>0</v>
      </c>
      <c r="N3660" t="inlineStr">
        <is>
          <t>alt</t>
        </is>
      </c>
      <c r="O3660" t="n">
        <v>90</v>
      </c>
      <c r="P3660" t="n">
        <v>0.01132</v>
      </c>
      <c r="Q3660" t="n">
        <v>10</v>
      </c>
      <c r="R3660" t="n">
        <v>0.008545000000000001</v>
      </c>
      <c r="S3660">
        <f>IMAGE("https://mitra.stanford.edu/kundaje/oak/projects/neuro-variants/variant_position/credible/roussos_2024/variant_figures/roussos_2024.infant.GLU/rs2040765_count_position.png",4,220,900)</f>
        <v/>
      </c>
      <c r="T3660">
        <f>IMAGE("https://mitra.stanford.edu/kundaje/oak/projects/neuro-variants/variant_position/credible/roussos_2024/variant_figures/roussos_2024.infant.GLU/rs2040765_profile_position.png",4,220,900)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0.00939304752</v>
      </c>
      <c r="G3661" t="n">
        <v>0.6564540512472504</v>
      </c>
      <c r="H3661" t="n">
        <v>0.0100262938850521</v>
      </c>
      <c r="I3661" t="n">
        <v>0.7340395190069886</v>
      </c>
      <c r="J3661" t="n">
        <v>0.0282270332238364</v>
      </c>
      <c r="K3661" t="n">
        <v>0.4660558372325369</v>
      </c>
      <c r="L3661" t="b">
        <v>0</v>
      </c>
      <c r="M3661" t="b">
        <v>0</v>
      </c>
      <c r="N3661" t="inlineStr">
        <is>
          <t>alt</t>
        </is>
      </c>
      <c r="O3661" t="n">
        <v>100</v>
      </c>
      <c r="P3661" t="n">
        <v>0.0244</v>
      </c>
      <c r="Q3661" t="n">
        <v>100</v>
      </c>
      <c r="R3661" t="n">
        <v>0.03467</v>
      </c>
      <c r="S3661">
        <f>IMAGE("https://mitra.stanford.edu/kundaje/oak/projects/neuro-variants/variant_position/credible/roussos_2024/variant_figures/roussos_2024.infant.GLU/rs2040766_count_position.png",4,220,900)</f>
        <v/>
      </c>
      <c r="T3661">
        <f>IMAGE("https://mitra.stanford.edu/kundaje/oak/projects/neuro-variants/variant_position/credible/roussos_2024/variant_figures/roussos_2024.infant.GLU/rs2040766_profile_position.png",4,220,900)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0.0234317655999999</v>
      </c>
      <c r="G3662" t="n">
        <v>0.3902339657873661</v>
      </c>
      <c r="H3662" t="n">
        <v>0.0074182671266286</v>
      </c>
      <c r="I3662" t="n">
        <v>0.9459628351668872</v>
      </c>
      <c r="J3662" t="n">
        <v>0.0275788707863929</v>
      </c>
      <c r="K3662" t="n">
        <v>0.4703430950951506</v>
      </c>
      <c r="L3662" t="b">
        <v>0</v>
      </c>
      <c r="M3662" t="b">
        <v>0</v>
      </c>
      <c r="N3662" t="inlineStr">
        <is>
          <t>alt</t>
        </is>
      </c>
      <c r="O3662" t="n">
        <v>85</v>
      </c>
      <c r="P3662" t="n">
        <v>0.02289</v>
      </c>
      <c r="Q3662" t="n">
        <v>100</v>
      </c>
      <c r="R3662" t="n">
        <v>0.07630000000000001</v>
      </c>
      <c r="S3662">
        <f>IMAGE("https://mitra.stanford.edu/kundaje/oak/projects/neuro-variants/variant_position/credible/roussos_2024/variant_figures/roussos_2024.infant.GLU/rs2040767_count_position.png",4,220,900)</f>
        <v/>
      </c>
      <c r="T3662">
        <f>IMAGE("https://mitra.stanford.edu/kundaje/oak/projects/neuro-variants/variant_position/credible/roussos_2024/variant_figures/roussos_2024.infant.GLU/rs2040767_profile_position.png",4,220,900)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0.0220802191999999</v>
      </c>
      <c r="G3663" t="n">
        <v>0.4122464450359058</v>
      </c>
      <c r="H3663" t="n">
        <v>0.0139669408896448</v>
      </c>
      <c r="I3663" t="n">
        <v>0.4219257065512763</v>
      </c>
      <c r="J3663" t="n">
        <v>0.1305573315108357</v>
      </c>
      <c r="K3663" t="n">
        <v>0.1654968544103153</v>
      </c>
      <c r="L3663" t="b">
        <v>0</v>
      </c>
      <c r="M3663" t="b">
        <v>0</v>
      </c>
      <c r="N3663" t="inlineStr">
        <is>
          <t>alt</t>
        </is>
      </c>
      <c r="O3663" t="n">
        <v>-20</v>
      </c>
      <c r="P3663" t="n">
        <v>0.001846</v>
      </c>
      <c r="Q3663" t="n">
        <v>-60</v>
      </c>
      <c r="R3663" t="n">
        <v>0.03906</v>
      </c>
      <c r="S3663">
        <f>IMAGE("https://mitra.stanford.edu/kundaje/oak/projects/neuro-variants/variant_position/credible/roussos_2024/variant_figures/roussos_2024.infant.GLU/rs1557841_count_position.png",4,220,900)</f>
        <v/>
      </c>
      <c r="T3663">
        <f>IMAGE("https://mitra.stanford.edu/kundaje/oak/projects/neuro-variants/variant_position/credible/roussos_2024/variant_figures/roussos_2024.infant.GLU/rs1557841_profile_position.png",4,220,900)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0.022471024</v>
      </c>
      <c r="G3664" t="n">
        <v>0.4071164958507497</v>
      </c>
      <c r="H3664" t="n">
        <v>0.0242216822558156</v>
      </c>
      <c r="I3664" t="n">
        <v>0.1100531426873586</v>
      </c>
      <c r="J3664" t="n">
        <v>0.0219757931171321</v>
      </c>
      <c r="K3664" t="n">
        <v>0.5240055227889947</v>
      </c>
      <c r="L3664" t="b">
        <v>0</v>
      </c>
      <c r="M3664" t="b">
        <v>0</v>
      </c>
      <c r="N3664" t="inlineStr">
        <is>
          <t>alt</t>
        </is>
      </c>
      <c r="O3664" t="n">
        <v>-70</v>
      </c>
      <c r="P3664" t="n">
        <v>0.02075</v>
      </c>
      <c r="Q3664" t="n">
        <v>-100</v>
      </c>
      <c r="R3664" t="n">
        <v>0.036</v>
      </c>
      <c r="S3664">
        <f>IMAGE("https://mitra.stanford.edu/kundaje/oak/projects/neuro-variants/variant_position/credible/roussos_2024/variant_figures/roussos_2024.infant.GLU/rs17464820_count_position.png",4,220,900)</f>
        <v/>
      </c>
      <c r="T3664">
        <f>IMAGE("https://mitra.stanford.edu/kundaje/oak/projects/neuro-variants/variant_position/credible/roussos_2024/variant_figures/roussos_2024.infant.GLU/rs17464820_profile_position.png",4,220,900)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0.2447231619999999</v>
      </c>
      <c r="G3665" t="n">
        <v>0.0060148137936229</v>
      </c>
      <c r="H3665" t="n">
        <v>0.0511316995899352</v>
      </c>
      <c r="I3665" t="n">
        <v>0.006963742852207</v>
      </c>
      <c r="J3665" t="n">
        <v>0.1209881170219801</v>
      </c>
      <c r="K3665" t="n">
        <v>0.1744593278377482</v>
      </c>
      <c r="L3665" t="b">
        <v>1</v>
      </c>
      <c r="M3665" t="b">
        <v>1</v>
      </c>
      <c r="N3665" t="inlineStr">
        <is>
          <t>alt</t>
        </is>
      </c>
      <c r="O3665" t="n">
        <v>50</v>
      </c>
      <c r="P3665" t="n">
        <v>0.01001</v>
      </c>
      <c r="Q3665" t="n">
        <v>50</v>
      </c>
      <c r="R3665" t="n">
        <v>0.04297</v>
      </c>
      <c r="S3665">
        <f>IMAGE("https://mitra.stanford.edu/kundaje/oak/projects/neuro-variants/variant_position/credible/roussos_2024/variant_figures/roussos_2024.infant.GLU/rs9639377_count_position.png",4,220,900)</f>
        <v/>
      </c>
      <c r="T3665">
        <f>IMAGE("https://mitra.stanford.edu/kundaje/oak/projects/neuro-variants/variant_position/credible/roussos_2024/variant_figures/roussos_2024.infant.GLU/rs9639377_profile_position.png",4,220,900)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0.0444302338</v>
      </c>
      <c r="G3666" t="n">
        <v>0.1939105409932821</v>
      </c>
      <c r="H3666" t="n">
        <v>0.0106431867842212</v>
      </c>
      <c r="I3666" t="n">
        <v>0.6758545750188751</v>
      </c>
      <c r="J3666" t="n">
        <v>0.1785533190766992</v>
      </c>
      <c r="K3666" t="n">
        <v>0.1295699612704539</v>
      </c>
      <c r="L3666" t="b">
        <v>0</v>
      </c>
      <c r="M3666" t="b">
        <v>0</v>
      </c>
      <c r="N3666" t="inlineStr">
        <is>
          <t>alt</t>
        </is>
      </c>
      <c r="O3666" t="n">
        <v>-100</v>
      </c>
      <c r="P3666" t="n">
        <v>0.01578</v>
      </c>
      <c r="Q3666" t="n">
        <v>-100</v>
      </c>
      <c r="R3666" t="n">
        <v>0.1244</v>
      </c>
      <c r="S3666">
        <f>IMAGE("https://mitra.stanford.edu/kundaje/oak/projects/neuro-variants/variant_position/credible/roussos_2024/variant_figures/roussos_2024.infant.GLU/rs7796796_count_position.png",4,220,900)</f>
        <v/>
      </c>
      <c r="T3666">
        <f>IMAGE("https://mitra.stanford.edu/kundaje/oak/projects/neuro-variants/variant_position/credible/roussos_2024/variant_figures/roussos_2024.infant.GLU/rs7796796_profile_position.png",4,220,900)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0.1752433159999999</v>
      </c>
      <c r="G3667" t="n">
        <v>0.0156684762791069</v>
      </c>
      <c r="H3667" t="n">
        <v>0.0245261012932532</v>
      </c>
      <c r="I3667" t="n">
        <v>0.1079039232768391</v>
      </c>
      <c r="J3667" t="n">
        <v>0.0585165016865451</v>
      </c>
      <c r="K3667" t="n">
        <v>0.3156541190894074</v>
      </c>
      <c r="L3667" t="b">
        <v>1</v>
      </c>
      <c r="M3667" t="b">
        <v>0</v>
      </c>
      <c r="N3667" t="inlineStr">
        <is>
          <t>alt</t>
        </is>
      </c>
      <c r="O3667" t="n">
        <v>-80</v>
      </c>
      <c r="P3667" t="n">
        <v>0.0519</v>
      </c>
      <c r="Q3667" t="n">
        <v>100</v>
      </c>
      <c r="R3667" t="n">
        <v>0.05566</v>
      </c>
      <c r="S3667">
        <f>IMAGE("https://mitra.stanford.edu/kundaje/oak/projects/neuro-variants/variant_position/credible/roussos_2024/variant_figures/roussos_2024.infant.GLU/rs6948810_count_position.png",4,220,900)</f>
        <v/>
      </c>
      <c r="T3667">
        <f>IMAGE("https://mitra.stanford.edu/kundaje/oak/projects/neuro-variants/variant_position/credible/roussos_2024/variant_figures/roussos_2024.infant.GLU/rs6948810_profile_position.png",4,220,900)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-0.07703447820000001</v>
      </c>
      <c r="G3668" t="n">
        <v>0.0851849302854482</v>
      </c>
      <c r="H3668" t="n">
        <v>0.0338677193034184</v>
      </c>
      <c r="I3668" t="n">
        <v>0.0400849967487755</v>
      </c>
      <c r="J3668" t="n">
        <v>0.8513668731673979</v>
      </c>
      <c r="K3668" t="n">
        <v>0.005584405039576</v>
      </c>
      <c r="L3668" t="b">
        <v>0</v>
      </c>
      <c r="M3668" t="b">
        <v>0</v>
      </c>
      <c r="N3668" t="inlineStr">
        <is>
          <t>ref</t>
        </is>
      </c>
      <c r="O3668" t="n">
        <v>-25</v>
      </c>
      <c r="P3668" t="n">
        <v>0.01221</v>
      </c>
      <c r="Q3668" t="n">
        <v>-30</v>
      </c>
      <c r="R3668" t="n">
        <v>0.1611</v>
      </c>
      <c r="S3668">
        <f>IMAGE("https://mitra.stanford.edu/kundaje/oak/projects/neuro-variants/variant_position/credible/roussos_2024/variant_figures/roussos_2024.infant.GLU/rs56359038_count_position.png",4,220,900)</f>
        <v/>
      </c>
      <c r="T3668">
        <f>IMAGE("https://mitra.stanford.edu/kundaje/oak/projects/neuro-variants/variant_position/credible/roussos_2024/variant_figures/roussos_2024.infant.GLU/rs56359038_profile_position.png",4,220,900)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-0.0033444558799999</v>
      </c>
      <c r="G3669" t="n">
        <v>0.5693207937057299</v>
      </c>
      <c r="H3669" t="n">
        <v>0.0269434048260075</v>
      </c>
      <c r="I3669" t="n">
        <v>0.0806761108741572</v>
      </c>
      <c r="J3669" t="n">
        <v>0.0272702220066579</v>
      </c>
      <c r="K3669" t="n">
        <v>0.4704879968422957</v>
      </c>
      <c r="L3669" t="b">
        <v>0</v>
      </c>
      <c r="M3669" t="b">
        <v>0</v>
      </c>
      <c r="N3669" t="inlineStr">
        <is>
          <t>ref</t>
        </is>
      </c>
      <c r="O3669" t="n">
        <v>-20</v>
      </c>
      <c r="P3669" t="n">
        <v>0.01779</v>
      </c>
      <c r="Q3669" t="n">
        <v>-65</v>
      </c>
      <c r="R3669" t="n">
        <v>0.1038</v>
      </c>
      <c r="S3669">
        <f>IMAGE("https://mitra.stanford.edu/kundaje/oak/projects/neuro-variants/variant_position/credible/roussos_2024/variant_figures/roussos_2024.infant.GLU/rs6966655_count_position.png",4,220,900)</f>
        <v/>
      </c>
      <c r="T3669">
        <f>IMAGE("https://mitra.stanford.edu/kundaje/oak/projects/neuro-variants/variant_position/credible/roussos_2024/variant_figures/roussos_2024.infant.GLU/rs6966655_profile_position.png",4,220,900)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-0.0071880799</v>
      </c>
      <c r="G3670" t="n">
        <v>0.5463673153519453</v>
      </c>
      <c r="H3670" t="n">
        <v>0.0277024091291384</v>
      </c>
      <c r="I3670" t="n">
        <v>0.0742930140185771</v>
      </c>
      <c r="J3670" t="n">
        <v>0.0118443969223307</v>
      </c>
      <c r="K3670" t="n">
        <v>0.6319257399274497</v>
      </c>
      <c r="L3670" t="b">
        <v>0</v>
      </c>
      <c r="M3670" t="b">
        <v>0</v>
      </c>
      <c r="N3670" t="inlineStr">
        <is>
          <t>ref</t>
        </is>
      </c>
      <c r="O3670" t="n">
        <v>-100</v>
      </c>
      <c r="P3670" t="n">
        <v>0.01901</v>
      </c>
      <c r="Q3670" t="n">
        <v>20</v>
      </c>
      <c r="R3670" t="n">
        <v>0.02484</v>
      </c>
      <c r="S3670">
        <f>IMAGE("https://mitra.stanford.edu/kundaje/oak/projects/neuro-variants/variant_position/credible/roussos_2024/variant_figures/roussos_2024.infant.GLU/rs2106747_count_position.png",4,220,900)</f>
        <v/>
      </c>
      <c r="T3670">
        <f>IMAGE("https://mitra.stanford.edu/kundaje/oak/projects/neuro-variants/variant_position/credible/roussos_2024/variant_figures/roussos_2024.infant.GLU/rs2106747_profile_position.png",4,220,900)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-0.075824774</v>
      </c>
      <c r="G3671" t="n">
        <v>0.08431471078873019</v>
      </c>
      <c r="H3671" t="n">
        <v>0.0115279253579325</v>
      </c>
      <c r="I3671" t="n">
        <v>0.6016094488353586</v>
      </c>
      <c r="J3671" t="n">
        <v>0.2961738574483564</v>
      </c>
      <c r="K3671" t="n">
        <v>0.06844084092138709</v>
      </c>
      <c r="L3671" t="b">
        <v>0</v>
      </c>
      <c r="M3671" t="b">
        <v>0</v>
      </c>
      <c r="N3671" t="inlineStr">
        <is>
          <t>ref</t>
        </is>
      </c>
      <c r="O3671" t="n">
        <v>-10</v>
      </c>
      <c r="P3671" t="n">
        <v>0.001221</v>
      </c>
      <c r="Q3671" t="n">
        <v>-60</v>
      </c>
      <c r="R3671" t="n">
        <v>0.11523</v>
      </c>
      <c r="S3671">
        <f>IMAGE("https://mitra.stanford.edu/kundaje/oak/projects/neuro-variants/variant_position/credible/roussos_2024/variant_figures/roussos_2024.infant.GLU/rs9769098_count_position.png",4,220,900)</f>
        <v/>
      </c>
      <c r="T3671">
        <f>IMAGE("https://mitra.stanford.edu/kundaje/oak/projects/neuro-variants/variant_position/credible/roussos_2024/variant_figures/roussos_2024.infant.GLU/rs9769098_profile_position.png",4,220,900)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0.0257848528</v>
      </c>
      <c r="G3672" t="n">
        <v>0.3567044891196564</v>
      </c>
      <c r="H3672" t="n">
        <v>0.0257912486645017</v>
      </c>
      <c r="I3672" t="n">
        <v>0.0947923707375378</v>
      </c>
      <c r="J3672" t="n">
        <v>0.2489638219537467</v>
      </c>
      <c r="K3672" t="n">
        <v>0.0852923695103462</v>
      </c>
      <c r="L3672" t="b">
        <v>0</v>
      </c>
      <c r="M3672" t="b">
        <v>0</v>
      </c>
      <c r="N3672" t="inlineStr">
        <is>
          <t>alt</t>
        </is>
      </c>
      <c r="O3672" t="n">
        <v>25</v>
      </c>
      <c r="P3672" t="n">
        <v>0.002357</v>
      </c>
      <c r="Q3672" t="n">
        <v>30</v>
      </c>
      <c r="R3672" t="n">
        <v>0.015015</v>
      </c>
      <c r="S3672">
        <f>IMAGE("https://mitra.stanford.edu/kundaje/oak/projects/neuro-variants/variant_position/credible/roussos_2024/variant_figures/roussos_2024.infant.GLU/rs13244145_count_position.png",4,220,900)</f>
        <v/>
      </c>
      <c r="T3672">
        <f>IMAGE("https://mitra.stanford.edu/kundaje/oak/projects/neuro-variants/variant_position/credible/roussos_2024/variant_figures/roussos_2024.infant.GLU/rs13244145_profile_position.png",4,220,900)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-0.0167210478</v>
      </c>
      <c r="G3673" t="n">
        <v>0.5021138992583138</v>
      </c>
      <c r="H3673" t="n">
        <v>0.007133064603307</v>
      </c>
      <c r="I3673" t="n">
        <v>0.955784919100536</v>
      </c>
      <c r="J3673" t="n">
        <v>0.2327796027249277</v>
      </c>
      <c r="K3673" t="n">
        <v>0.0919984177865578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0.01479</v>
      </c>
      <c r="Q3673" t="n">
        <v>100</v>
      </c>
      <c r="R3673" t="n">
        <v>0.2573</v>
      </c>
      <c r="S3673">
        <f>IMAGE("https://mitra.stanford.edu/kundaje/oak/projects/neuro-variants/variant_position/credible/roussos_2024/variant_figures/roussos_2024.infant.GLU/rs146616002_count_position.png",4,220,900)</f>
        <v/>
      </c>
      <c r="T3673">
        <f>IMAGE("https://mitra.stanford.edu/kundaje/oak/projects/neuro-variants/variant_position/credible/roussos_2024/variant_figures/roussos_2024.infant.GLU/rs146616002_profile_position.png",4,220,900)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0.0647572082</v>
      </c>
      <c r="G3674" t="n">
        <v>0.1066261647375828</v>
      </c>
      <c r="H3674" t="n">
        <v>0.0102717536417355</v>
      </c>
      <c r="I3674" t="n">
        <v>0.711541287388566</v>
      </c>
      <c r="J3674" t="n">
        <v>0.3828732996759188</v>
      </c>
      <c r="K3674" t="n">
        <v>0.0479494130657561</v>
      </c>
      <c r="L3674" t="b">
        <v>0</v>
      </c>
      <c r="M3674" t="b">
        <v>0</v>
      </c>
      <c r="N3674" t="inlineStr">
        <is>
          <t>alt</t>
        </is>
      </c>
      <c r="O3674" t="n">
        <v>100</v>
      </c>
      <c r="P3674" t="n">
        <v>0.04276</v>
      </c>
      <c r="Q3674" t="n">
        <v>-75</v>
      </c>
      <c r="R3674" t="n">
        <v>0.1711</v>
      </c>
      <c r="S3674">
        <f>IMAGE("https://mitra.stanford.edu/kundaje/oak/projects/neuro-variants/variant_position/credible/roussos_2024/variant_figures/roussos_2024.infant.GLU/rs17150022_count_position.png",4,220,900)</f>
        <v/>
      </c>
      <c r="T3674">
        <f>IMAGE("https://mitra.stanford.edu/kundaje/oak/projects/neuro-variants/variant_position/credible/roussos_2024/variant_figures/roussos_2024.infant.GLU/rs17150022_profile_position.png",4,220,900)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-0.0010493913</v>
      </c>
      <c r="G3675" t="n">
        <v>0.7949783893221894</v>
      </c>
      <c r="H3675" t="n">
        <v>0.0129158826176498</v>
      </c>
      <c r="I3675" t="n">
        <v>0.4883331857396544</v>
      </c>
      <c r="J3675" t="n">
        <v>0.0432108291629003</v>
      </c>
      <c r="K3675" t="n">
        <v>0.3830502577177679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0.03308</v>
      </c>
      <c r="Q3675" t="n">
        <v>-95</v>
      </c>
      <c r="R3675" t="n">
        <v>0.04022</v>
      </c>
      <c r="S3675">
        <f>IMAGE("https://mitra.stanford.edu/kundaje/oak/projects/neuro-variants/variant_position/credible/roussos_2024/variant_figures/roussos_2024.infant.GLU/rs80195870_count_position.png",4,220,900)</f>
        <v/>
      </c>
      <c r="T3675">
        <f>IMAGE("https://mitra.stanford.edu/kundaje/oak/projects/neuro-variants/variant_position/credible/roussos_2024/variant_figures/roussos_2024.infant.GLU/rs80195870_profile_position.png",4,220,900)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0.0418888224</v>
      </c>
      <c r="G3676" t="n">
        <v>0.2087278324530695</v>
      </c>
      <c r="H3676" t="n">
        <v>0.06357810788815441</v>
      </c>
      <c r="I3676" t="n">
        <v>0.002298410336929</v>
      </c>
      <c r="J3676" t="n">
        <v>0.0395202716109261</v>
      </c>
      <c r="K3676" t="n">
        <v>0.3964347654143054</v>
      </c>
      <c r="L3676" t="b">
        <v>1</v>
      </c>
      <c r="M3676" t="b">
        <v>0</v>
      </c>
      <c r="N3676" t="inlineStr">
        <is>
          <t>alt</t>
        </is>
      </c>
      <c r="O3676" t="n">
        <v>95</v>
      </c>
      <c r="P3676" t="n">
        <v>0.01221</v>
      </c>
      <c r="Q3676" t="n">
        <v>30</v>
      </c>
      <c r="R3676" t="n">
        <v>0.013245</v>
      </c>
      <c r="S3676">
        <f>IMAGE("https://mitra.stanford.edu/kundaje/oak/projects/neuro-variants/variant_position/credible/roussos_2024/variant_figures/roussos_2024.infant.GLU/rs114829110_count_position.png",4,220,900)</f>
        <v/>
      </c>
      <c r="T3676">
        <f>IMAGE("https://mitra.stanford.edu/kundaje/oak/projects/neuro-variants/variant_position/credible/roussos_2024/variant_figures/roussos_2024.infant.GLU/rs114829110_profile_position.png",4,220,900)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0.009053091019999999</v>
      </c>
      <c r="G3677" t="n">
        <v>0.5277527262467931</v>
      </c>
      <c r="H3677" t="n">
        <v>0.0072152796250181</v>
      </c>
      <c r="I3677" t="n">
        <v>0.9453957947953892</v>
      </c>
      <c r="J3677" t="n">
        <v>0.3825062280914482</v>
      </c>
      <c r="K3677" t="n">
        <v>0.0484634398102824</v>
      </c>
      <c r="L3677" t="b">
        <v>0</v>
      </c>
      <c r="M3677" t="b">
        <v>0</v>
      </c>
      <c r="N3677" t="inlineStr">
        <is>
          <t>alt</t>
        </is>
      </c>
      <c r="O3677" t="n">
        <v>15</v>
      </c>
      <c r="P3677" t="n">
        <v>0.004463</v>
      </c>
      <c r="Q3677" t="n">
        <v>-50</v>
      </c>
      <c r="R3677" t="n">
        <v>0.08400000000000001</v>
      </c>
      <c r="S3677">
        <f>IMAGE("https://mitra.stanford.edu/kundaje/oak/projects/neuro-variants/variant_position/credible/roussos_2024/variant_figures/roussos_2024.infant.GLU/rs11509873_count_position.png",4,220,900)</f>
        <v/>
      </c>
      <c r="T3677">
        <f>IMAGE("https://mitra.stanford.edu/kundaje/oak/projects/neuro-variants/variant_position/credible/roussos_2024/variant_figures/roussos_2024.infant.GLU/rs11509873_profile_position.png",4,220,900)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-0.02496946232</v>
      </c>
      <c r="G3678" t="n">
        <v>0.3831915513979618</v>
      </c>
      <c r="H3678" t="n">
        <v>0.0074480853666907</v>
      </c>
      <c r="I3678" t="n">
        <v>0.9203483969903724</v>
      </c>
      <c r="J3678" t="n">
        <v>0.3508410679247778</v>
      </c>
      <c r="K3678" t="n">
        <v>0.0557843495286236</v>
      </c>
      <c r="L3678" t="b">
        <v>0</v>
      </c>
      <c r="M3678" t="b">
        <v>0</v>
      </c>
      <c r="N3678" t="inlineStr">
        <is>
          <t>ref</t>
        </is>
      </c>
      <c r="O3678" t="n">
        <v>-100</v>
      </c>
      <c r="P3678" t="n">
        <v>0.02226</v>
      </c>
      <c r="Q3678" t="n">
        <v>-40</v>
      </c>
      <c r="R3678" t="n">
        <v>0.3398</v>
      </c>
      <c r="S3678">
        <f>IMAGE("https://mitra.stanford.edu/kundaje/oak/projects/neuro-variants/variant_position/credible/roussos_2024/variant_figures/roussos_2024.infant.GLU/rs2391000_count_position.png",4,220,900)</f>
        <v/>
      </c>
      <c r="T3678">
        <f>IMAGE("https://mitra.stanford.edu/kundaje/oak/projects/neuro-variants/variant_position/credible/roussos_2024/variant_figures/roussos_2024.infant.GLU/rs2391000_profile_position.png",4,220,900)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-0.0358740518</v>
      </c>
      <c r="G3679" t="n">
        <v>0.2630787590929492</v>
      </c>
      <c r="H3679" t="n">
        <v>0.0100603119113496</v>
      </c>
      <c r="I3679" t="n">
        <v>0.7262996567008511</v>
      </c>
      <c r="J3679" t="n">
        <v>0.1602890275358803</v>
      </c>
      <c r="K3679" t="n">
        <v>0.1380480836137173</v>
      </c>
      <c r="L3679" t="b">
        <v>0</v>
      </c>
      <c r="M3679" t="b">
        <v>0</v>
      </c>
      <c r="N3679" t="inlineStr">
        <is>
          <t>ref</t>
        </is>
      </c>
      <c r="O3679" t="n">
        <v>70</v>
      </c>
      <c r="P3679" t="n">
        <v>0.0119</v>
      </c>
      <c r="Q3679" t="n">
        <v>95</v>
      </c>
      <c r="R3679" t="n">
        <v>0.0712</v>
      </c>
      <c r="S3679">
        <f>IMAGE("https://mitra.stanford.edu/kundaje/oak/projects/neuro-variants/variant_position/credible/roussos_2024/variant_figures/roussos_2024.infant.GLU/rs113041465_count_position.png",4,220,900)</f>
        <v/>
      </c>
      <c r="T3679">
        <f>IMAGE("https://mitra.stanford.edu/kundaje/oak/projects/neuro-variants/variant_position/credible/roussos_2024/variant_figures/roussos_2024.infant.GLU/rs113041465_profile_position.png",4,220,900)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-0.0631830986</v>
      </c>
      <c r="G3680" t="n">
        <v>0.1270229356345635</v>
      </c>
      <c r="H3680" t="n">
        <v>0.0201840966652179</v>
      </c>
      <c r="I3680" t="n">
        <v>0.1830455928358971</v>
      </c>
      <c r="J3680" t="n">
        <v>0.0131704843581207</v>
      </c>
      <c r="K3680" t="n">
        <v>0.6369536238417612</v>
      </c>
      <c r="L3680" t="b">
        <v>0</v>
      </c>
      <c r="M3680" t="b">
        <v>0</v>
      </c>
      <c r="N3680" t="inlineStr">
        <is>
          <t>ref</t>
        </is>
      </c>
      <c r="O3680" t="n">
        <v>-100</v>
      </c>
      <c r="P3680" t="n">
        <v>0.01563</v>
      </c>
      <c r="Q3680" t="n">
        <v>-100</v>
      </c>
      <c r="R3680" t="n">
        <v>0.1013</v>
      </c>
      <c r="S3680">
        <f>IMAGE("https://mitra.stanford.edu/kundaje/oak/projects/neuro-variants/variant_position/credible/roussos_2024/variant_figures/roussos_2024.infant.GLU/rs150936052_count_position.png",4,220,900)</f>
        <v/>
      </c>
      <c r="T3680">
        <f>IMAGE("https://mitra.stanford.edu/kundaje/oak/projects/neuro-variants/variant_position/credible/roussos_2024/variant_figures/roussos_2024.infant.GLU/rs150936052_profile_position.png",4,220,900)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-0.0556340804</v>
      </c>
      <c r="G3681" t="n">
        <v>0.1464821923382435</v>
      </c>
      <c r="H3681" t="n">
        <v>0.0102786828296109</v>
      </c>
      <c r="I3681" t="n">
        <v>0.7160658476953616</v>
      </c>
      <c r="J3681" t="n">
        <v>0.1288322052955311</v>
      </c>
      <c r="K3681" t="n">
        <v>0.1674525408897995</v>
      </c>
      <c r="L3681" t="b">
        <v>0</v>
      </c>
      <c r="M3681" t="b">
        <v>0</v>
      </c>
      <c r="N3681" t="inlineStr">
        <is>
          <t>ref</t>
        </is>
      </c>
      <c r="O3681" t="n">
        <v>70</v>
      </c>
      <c r="P3681" t="n">
        <v>0.0446</v>
      </c>
      <c r="Q3681" t="n">
        <v>-70</v>
      </c>
      <c r="R3681" t="n">
        <v>0.0984</v>
      </c>
      <c r="S3681">
        <f>IMAGE("https://mitra.stanford.edu/kundaje/oak/projects/neuro-variants/variant_position/credible/roussos_2024/variant_figures/roussos_2024.infant.GLU/rs115354522_count_position.png",4,220,900)</f>
        <v/>
      </c>
      <c r="T3681">
        <f>IMAGE("https://mitra.stanford.edu/kundaje/oak/projects/neuro-variants/variant_position/credible/roussos_2024/variant_figures/roussos_2024.infant.GLU/rs115354522_profile_position.png",4,220,900)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-0.004796365308</v>
      </c>
      <c r="G3682" t="n">
        <v>0.8019521942685996</v>
      </c>
      <c r="H3682" t="n">
        <v>0.0164438670561952</v>
      </c>
      <c r="I3682" t="n">
        <v>0.2938070881841346</v>
      </c>
      <c r="J3682" t="n">
        <v>0.1453085385480279</v>
      </c>
      <c r="K3682" t="n">
        <v>0.1480877567973152</v>
      </c>
      <c r="L3682" t="b">
        <v>0</v>
      </c>
      <c r="M3682" t="b">
        <v>0</v>
      </c>
      <c r="N3682" t="inlineStr">
        <is>
          <t>ref</t>
        </is>
      </c>
      <c r="O3682" t="n">
        <v>100</v>
      </c>
      <c r="P3682" t="n">
        <v>0.04108</v>
      </c>
      <c r="Q3682" t="n">
        <v>100</v>
      </c>
      <c r="R3682" t="n">
        <v>0.1375</v>
      </c>
      <c r="S3682">
        <f>IMAGE("https://mitra.stanford.edu/kundaje/oak/projects/neuro-variants/variant_position/credible/roussos_2024/variant_figures/roussos_2024.infant.GLU/rs79631004_count_position.png",4,220,900)</f>
        <v/>
      </c>
      <c r="T3682">
        <f>IMAGE("https://mitra.stanford.edu/kundaje/oak/projects/neuro-variants/variant_position/credible/roussos_2024/variant_figures/roussos_2024.infant.GLU/rs79631004_profile_position.png",4,220,900)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0.007064257618</v>
      </c>
      <c r="G3683" t="n">
        <v>0.6566817101375463</v>
      </c>
      <c r="H3683" t="n">
        <v>0.0376133346130376</v>
      </c>
      <c r="I3683" t="n">
        <v>0.025740876607016</v>
      </c>
      <c r="J3683" t="n">
        <v>0.0506470601203729</v>
      </c>
      <c r="K3683" t="n">
        <v>0.344744834115992</v>
      </c>
      <c r="L3683" t="b">
        <v>0</v>
      </c>
      <c r="M3683" t="b">
        <v>0</v>
      </c>
      <c r="N3683" t="inlineStr">
        <is>
          <t>alt</t>
        </is>
      </c>
      <c r="O3683" t="n">
        <v>-20</v>
      </c>
      <c r="P3683" t="n">
        <v>0.02039</v>
      </c>
      <c r="Q3683" t="n">
        <v>-20</v>
      </c>
      <c r="R3683" t="n">
        <v>0.0644</v>
      </c>
      <c r="S3683">
        <f>IMAGE("https://mitra.stanford.edu/kundaje/oak/projects/neuro-variants/variant_position/credible/roussos_2024/variant_figures/roussos_2024.infant.GLU/rs6976562_count_position.png",4,220,900)</f>
        <v/>
      </c>
      <c r="T3683">
        <f>IMAGE("https://mitra.stanford.edu/kundaje/oak/projects/neuro-variants/variant_position/credible/roussos_2024/variant_figures/roussos_2024.infant.GLU/rs6976562_profile_position.png",4,220,900)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-0.019164145</v>
      </c>
      <c r="G3684" t="n">
        <v>0.4674575543214708</v>
      </c>
      <c r="H3684" t="n">
        <v>0.0288562587386366</v>
      </c>
      <c r="I3684" t="n">
        <v>0.0659878828223316</v>
      </c>
      <c r="J3684" t="n">
        <v>0.0531636499922837</v>
      </c>
      <c r="K3684" t="n">
        <v>0.3342109042288721</v>
      </c>
      <c r="L3684" t="b">
        <v>0</v>
      </c>
      <c r="M3684" t="b">
        <v>0</v>
      </c>
      <c r="N3684" t="inlineStr">
        <is>
          <t>ref</t>
        </is>
      </c>
      <c r="O3684" t="n">
        <v>-100</v>
      </c>
      <c r="P3684" t="n">
        <v>0.08459999999999999</v>
      </c>
      <c r="Q3684" t="n">
        <v>-45</v>
      </c>
      <c r="R3684" t="n">
        <v>0.09093999999999999</v>
      </c>
      <c r="S3684">
        <f>IMAGE("https://mitra.stanford.edu/kundaje/oak/projects/neuro-variants/variant_position/credible/roussos_2024/variant_figures/roussos_2024.infant.GLU/rs6942815_count_position.png",4,220,900)</f>
        <v/>
      </c>
      <c r="T3684">
        <f>IMAGE("https://mitra.stanford.edu/kundaje/oak/projects/neuro-variants/variant_position/credible/roussos_2024/variant_figures/roussos_2024.infant.GLU/rs6942815_profile_position.png",4,220,900)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0.0389893272</v>
      </c>
      <c r="G3685" t="n">
        <v>0.2383885265288524</v>
      </c>
      <c r="H3685" t="n">
        <v>0.0110109524747389</v>
      </c>
      <c r="I3685" t="n">
        <v>0.6386979723227146</v>
      </c>
      <c r="J3685" t="n">
        <v>0.0424910161158755</v>
      </c>
      <c r="K3685" t="n">
        <v>0.3787836063269265</v>
      </c>
      <c r="L3685" t="b">
        <v>0</v>
      </c>
      <c r="M3685" t="b">
        <v>0</v>
      </c>
      <c r="N3685" t="inlineStr">
        <is>
          <t>alt</t>
        </is>
      </c>
      <c r="O3685" t="n">
        <v>-95</v>
      </c>
      <c r="P3685" t="n">
        <v>0.04288</v>
      </c>
      <c r="Q3685" t="n">
        <v>90</v>
      </c>
      <c r="R3685" t="n">
        <v>0.07920000000000001</v>
      </c>
      <c r="S3685">
        <f>IMAGE("https://mitra.stanford.edu/kundaje/oak/projects/neuro-variants/variant_position/credible/roussos_2024/variant_figures/roussos_2024.infant.GLU/rs10261998_count_position.png",4,220,900)</f>
        <v/>
      </c>
      <c r="T3685">
        <f>IMAGE("https://mitra.stanford.edu/kundaje/oak/projects/neuro-variants/variant_position/credible/roussos_2024/variant_figures/roussos_2024.infant.GLU/rs10261998_profile_position.png",4,220,900)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0.0202459228</v>
      </c>
      <c r="G3686" t="n">
        <v>0.4292400629273969</v>
      </c>
      <c r="H3686" t="n">
        <v>0.0714567372848998</v>
      </c>
      <c r="I3686" t="n">
        <v>0.0012010631600761</v>
      </c>
      <c r="J3686" t="n">
        <v>0.0296490222447584</v>
      </c>
      <c r="K3686" t="n">
        <v>0.4556424186250482</v>
      </c>
      <c r="L3686" t="b">
        <v>1</v>
      </c>
      <c r="M3686" t="b">
        <v>0</v>
      </c>
      <c r="N3686" t="inlineStr">
        <is>
          <t>alt</t>
        </is>
      </c>
      <c r="O3686" t="n">
        <v>-90</v>
      </c>
      <c r="P3686" t="n">
        <v>0.0703</v>
      </c>
      <c r="Q3686" t="n">
        <v>-100</v>
      </c>
      <c r="R3686" t="n">
        <v>0.053</v>
      </c>
      <c r="S3686">
        <f>IMAGE("https://mitra.stanford.edu/kundaje/oak/projects/neuro-variants/variant_position/credible/roussos_2024/variant_figures/roussos_2024.infant.GLU/rs28799658_count_position.png",4,220,900)</f>
        <v/>
      </c>
      <c r="T3686">
        <f>IMAGE("https://mitra.stanford.edu/kundaje/oak/projects/neuro-variants/variant_position/credible/roussos_2024/variant_figures/roussos_2024.infant.GLU/rs28799658_profile_position.png",4,220,900)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-0.0310827832</v>
      </c>
      <c r="G3687" t="n">
        <v>0.3054440065361602</v>
      </c>
      <c r="H3687" t="n">
        <v>0.013952989252026</v>
      </c>
      <c r="I3687" t="n">
        <v>0.4217782030921849</v>
      </c>
      <c r="J3687" t="n">
        <v>0.0371668246654467</v>
      </c>
      <c r="K3687" t="n">
        <v>0.415255612604184</v>
      </c>
      <c r="L3687" t="b">
        <v>0</v>
      </c>
      <c r="M3687" t="b">
        <v>0</v>
      </c>
      <c r="N3687" t="inlineStr">
        <is>
          <t>ref</t>
        </is>
      </c>
      <c r="O3687" t="n">
        <v>-95</v>
      </c>
      <c r="P3687" t="n">
        <v>0.00702</v>
      </c>
      <c r="Q3687" t="n">
        <v>100</v>
      </c>
      <c r="R3687" t="n">
        <v>0.1415</v>
      </c>
      <c r="S3687">
        <f>IMAGE("https://mitra.stanford.edu/kundaje/oak/projects/neuro-variants/variant_position/credible/roussos_2024/variant_figures/roussos_2024.infant.GLU/rs3923570_count_position.png",4,220,900)</f>
        <v/>
      </c>
      <c r="T3687">
        <f>IMAGE("https://mitra.stanford.edu/kundaje/oak/projects/neuro-variants/variant_position/credible/roussos_2024/variant_figures/roussos_2024.infant.GLU/rs3923570_profile_position.png",4,220,900)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-0.14065214</v>
      </c>
      <c r="G3688" t="n">
        <v>0.0238898063946198</v>
      </c>
      <c r="H3688" t="n">
        <v>0.0399713505896453</v>
      </c>
      <c r="I3688" t="n">
        <v>0.0203068235470156</v>
      </c>
      <c r="J3688" t="n">
        <v>0.0355045305231596</v>
      </c>
      <c r="K3688" t="n">
        <v>0.4219364330666491</v>
      </c>
      <c r="L3688" t="b">
        <v>0</v>
      </c>
      <c r="M3688" t="b">
        <v>0</v>
      </c>
      <c r="N3688" t="inlineStr">
        <is>
          <t>ref</t>
        </is>
      </c>
      <c r="O3688" t="n">
        <v>10</v>
      </c>
      <c r="P3688" t="n">
        <v>0.003845</v>
      </c>
      <c r="Q3688" t="n">
        <v>-5</v>
      </c>
      <c r="R3688" t="n">
        <v>0.001038</v>
      </c>
      <c r="S3688">
        <f>IMAGE("https://mitra.stanford.edu/kundaje/oak/projects/neuro-variants/variant_position/credible/roussos_2024/variant_figures/roussos_2024.infant.GLU/rs6964131_count_position.png",4,220,900)</f>
        <v/>
      </c>
      <c r="T3688">
        <f>IMAGE("https://mitra.stanford.edu/kundaje/oak/projects/neuro-variants/variant_position/credible/roussos_2024/variant_figures/roussos_2024.infant.GLU/rs6964131_profile_position.png",4,220,900)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0.276506734</v>
      </c>
      <c r="G3689" t="n">
        <v>0.0039279660144554</v>
      </c>
      <c r="H3689" t="n">
        <v>0.0396831289075725</v>
      </c>
      <c r="I3689" t="n">
        <v>0.0212742353834568</v>
      </c>
      <c r="J3689" t="n">
        <v>0.5425009369695099</v>
      </c>
      <c r="K3689" t="n">
        <v>0.0264323432417067</v>
      </c>
      <c r="L3689" t="b">
        <v>1</v>
      </c>
      <c r="M3689" t="b">
        <v>1</v>
      </c>
      <c r="N3689" t="inlineStr">
        <is>
          <t>alt</t>
        </is>
      </c>
      <c r="O3689" t="n">
        <v>-50</v>
      </c>
      <c r="P3689" t="n">
        <v>0.02682</v>
      </c>
      <c r="Q3689" t="n">
        <v>-30</v>
      </c>
      <c r="R3689" t="n">
        <v>0.145</v>
      </c>
      <c r="S3689">
        <f>IMAGE("https://mitra.stanford.edu/kundaje/oak/projects/neuro-variants/variant_position/credible/roussos_2024/variant_figures/roussos_2024.infant.GLU/rs73356099_count_position.png",4,220,900)</f>
        <v/>
      </c>
      <c r="T3689">
        <f>IMAGE("https://mitra.stanford.edu/kundaje/oak/projects/neuro-variants/variant_position/credible/roussos_2024/variant_figures/roussos_2024.infant.GLU/rs73356099_profile_position.png",4,220,900)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-0.0557136864</v>
      </c>
      <c r="G3690" t="n">
        <v>0.1430798549310569</v>
      </c>
      <c r="H3690" t="n">
        <v>0.0106384338107863</v>
      </c>
      <c r="I3690" t="n">
        <v>0.6770449517628458</v>
      </c>
      <c r="J3690" t="n">
        <v>0.0068277519345664</v>
      </c>
      <c r="K3690" t="n">
        <v>0.7399044750272226</v>
      </c>
      <c r="L3690" t="b">
        <v>0</v>
      </c>
      <c r="M3690" t="b">
        <v>0</v>
      </c>
      <c r="N3690" t="inlineStr">
        <is>
          <t>ref</t>
        </is>
      </c>
      <c r="O3690" t="n">
        <v>25</v>
      </c>
      <c r="P3690" t="n">
        <v>0.001199</v>
      </c>
      <c r="Q3690" t="n">
        <v>-95</v>
      </c>
      <c r="R3690" t="n">
        <v>0.07306</v>
      </c>
      <c r="S3690">
        <f>IMAGE("https://mitra.stanford.edu/kundaje/oak/projects/neuro-variants/variant_position/credible/roussos_2024/variant_figures/roussos_2024.infant.GLU/rs12534549_count_position.png",4,220,900)</f>
        <v/>
      </c>
      <c r="T3690">
        <f>IMAGE("https://mitra.stanford.edu/kundaje/oak/projects/neuro-variants/variant_position/credible/roussos_2024/variant_figures/roussos_2024.infant.GLU/rs12534549_profile_position.png",4,220,900)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0.1752341579999999</v>
      </c>
      <c r="G3691" t="n">
        <v>0.014782404835375</v>
      </c>
      <c r="H3691" t="n">
        <v>0.0282176072265734</v>
      </c>
      <c r="I3691" t="n">
        <v>0.0717963358382654</v>
      </c>
      <c r="J3691" t="n">
        <v>0.0357183800348331</v>
      </c>
      <c r="K3691" t="n">
        <v>0.4148279441837327</v>
      </c>
      <c r="L3691" t="b">
        <v>1</v>
      </c>
      <c r="M3691" t="b">
        <v>0</v>
      </c>
      <c r="N3691" t="inlineStr">
        <is>
          <t>alt</t>
        </is>
      </c>
      <c r="O3691" t="n">
        <v>10</v>
      </c>
      <c r="P3691" t="n">
        <v>0.0007935</v>
      </c>
      <c r="Q3691" t="n">
        <v>10</v>
      </c>
      <c r="R3691" t="n">
        <v>0.02344</v>
      </c>
      <c r="S3691">
        <f>IMAGE("https://mitra.stanford.edu/kundaje/oak/projects/neuro-variants/variant_position/credible/roussos_2024/variant_figures/roussos_2024.infant.GLU/rs73179792_count_position.png",4,220,900)</f>
        <v/>
      </c>
      <c r="T3691">
        <f>IMAGE("https://mitra.stanford.edu/kundaje/oak/projects/neuro-variants/variant_position/credible/roussos_2024/variant_figures/roussos_2024.infant.GLU/rs73179792_profile_position.png",4,220,900)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-0.0397736017999999</v>
      </c>
      <c r="G3692" t="n">
        <v>0.238317118194825</v>
      </c>
      <c r="H3692" t="n">
        <v>0.013737735679969</v>
      </c>
      <c r="I3692" t="n">
        <v>0.4231811170440947</v>
      </c>
      <c r="J3692" t="n">
        <v>0.2545051698670605</v>
      </c>
      <c r="K3692" t="n">
        <v>0.08293508640944761</v>
      </c>
      <c r="L3692" t="b">
        <v>0</v>
      </c>
      <c r="M3692" t="b">
        <v>0</v>
      </c>
      <c r="N3692" t="inlineStr">
        <is>
          <t>ref</t>
        </is>
      </c>
      <c r="O3692" t="n">
        <v>100</v>
      </c>
      <c r="P3692" t="n">
        <v>0.04037</v>
      </c>
      <c r="Q3692" t="n">
        <v>-90</v>
      </c>
      <c r="R3692" t="n">
        <v>0.3867</v>
      </c>
      <c r="S3692">
        <f>IMAGE("https://mitra.stanford.edu/kundaje/oak/projects/neuro-variants/variant_position/credible/roussos_2024/variant_figures/roussos_2024.infant.GLU/rs28678480_count_position.png",4,220,900)</f>
        <v/>
      </c>
      <c r="T3692">
        <f>IMAGE("https://mitra.stanford.edu/kundaje/oak/projects/neuro-variants/variant_position/credible/roussos_2024/variant_figures/roussos_2024.infant.GLU/rs28678480_profile_position.png",4,220,900)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-0.0157084276</v>
      </c>
      <c r="G3693" t="n">
        <v>0.4234192713062</v>
      </c>
      <c r="H3693" t="n">
        <v>0.0101314565290959</v>
      </c>
      <c r="I3693" t="n">
        <v>0.7138122489709937</v>
      </c>
      <c r="J3693" t="n">
        <v>0.0060583346193698</v>
      </c>
      <c r="K3693" t="n">
        <v>0.7679152376633617</v>
      </c>
      <c r="L3693" t="b">
        <v>0</v>
      </c>
      <c r="M3693" t="b">
        <v>0</v>
      </c>
      <c r="N3693" t="inlineStr">
        <is>
          <t>ref</t>
        </is>
      </c>
      <c r="O3693" t="n">
        <v>-75</v>
      </c>
      <c r="P3693" t="n">
        <v>0.07074</v>
      </c>
      <c r="Q3693" t="n">
        <v>-100</v>
      </c>
      <c r="R3693" t="n">
        <v>0.0525</v>
      </c>
      <c r="S3693">
        <f>IMAGE("https://mitra.stanford.edu/kundaje/oak/projects/neuro-variants/variant_position/credible/roussos_2024/variant_figures/roussos_2024.infant.GLU/rs12668780_count_position.png",4,220,900)</f>
        <v/>
      </c>
      <c r="T3693">
        <f>IMAGE("https://mitra.stanford.edu/kundaje/oak/projects/neuro-variants/variant_position/credible/roussos_2024/variant_figures/roussos_2024.infant.GLU/rs12668780_profile_position.png",4,220,900)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0.0185570897199999</v>
      </c>
      <c r="G3694" t="n">
        <v>0.4304395994310348</v>
      </c>
      <c r="H3694" t="n">
        <v>0.013152590423647</v>
      </c>
      <c r="I3694" t="n">
        <v>0.4671013555022733</v>
      </c>
      <c r="J3694" t="n">
        <v>0.2960041006195021</v>
      </c>
      <c r="K3694" t="n">
        <v>0.06868304977072739</v>
      </c>
      <c r="L3694" t="b">
        <v>0</v>
      </c>
      <c r="M3694" t="b">
        <v>0</v>
      </c>
      <c r="N3694" t="inlineStr">
        <is>
          <t>alt</t>
        </is>
      </c>
      <c r="O3694" t="n">
        <v>-100</v>
      </c>
      <c r="P3694" t="n">
        <v>0.02914</v>
      </c>
      <c r="Q3694" t="n">
        <v>50</v>
      </c>
      <c r="R3694" t="n">
        <v>0.04288</v>
      </c>
      <c r="S3694">
        <f>IMAGE("https://mitra.stanford.edu/kundaje/oak/projects/neuro-variants/variant_position/credible/roussos_2024/variant_figures/roussos_2024.infant.GLU/rs7385083_count_position.png",4,220,900)</f>
        <v/>
      </c>
      <c r="T3694">
        <f>IMAGE("https://mitra.stanford.edu/kundaje/oak/projects/neuro-variants/variant_position/credible/roussos_2024/variant_figures/roussos_2024.infant.GLU/rs7385083_profile_position.png",4,220,900)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0.0834292698</v>
      </c>
      <c r="G3695" t="n">
        <v>0.0689802569895176</v>
      </c>
      <c r="H3695" t="n">
        <v>0.0158917057849283</v>
      </c>
      <c r="I3695" t="n">
        <v>0.3177369365721914</v>
      </c>
      <c r="J3695" t="n">
        <v>0.2448411561101434</v>
      </c>
      <c r="K3695" t="n">
        <v>0.0881006265793233</v>
      </c>
      <c r="L3695" t="b">
        <v>0</v>
      </c>
      <c r="M3695" t="b">
        <v>0</v>
      </c>
      <c r="N3695" t="inlineStr">
        <is>
          <t>alt</t>
        </is>
      </c>
      <c r="O3695" t="n">
        <v>60</v>
      </c>
      <c r="P3695" t="n">
        <v>0.003464</v>
      </c>
      <c r="Q3695" t="n">
        <v>75</v>
      </c>
      <c r="R3695" t="n">
        <v>0.08434999999999999</v>
      </c>
      <c r="S3695">
        <f>IMAGE("https://mitra.stanford.edu/kundaje/oak/projects/neuro-variants/variant_position/credible/roussos_2024/variant_figures/roussos_2024.infant.GLU/rs73181662_count_position.png",4,220,900)</f>
        <v/>
      </c>
      <c r="T3695">
        <f>IMAGE("https://mitra.stanford.edu/kundaje/oak/projects/neuro-variants/variant_position/credible/roussos_2024/variant_figures/roussos_2024.infant.GLU/rs73181662_profile_position.png",4,220,900)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-0.0328448754</v>
      </c>
      <c r="G3696" t="n">
        <v>0.2932158145893466</v>
      </c>
      <c r="H3696" t="n">
        <v>0.0090268965829715</v>
      </c>
      <c r="I3696" t="n">
        <v>0.8211808622491487</v>
      </c>
      <c r="J3696" t="n">
        <v>0.4496935558544059</v>
      </c>
      <c r="K3696" t="n">
        <v>0.0369957635651364</v>
      </c>
      <c r="L3696" t="b">
        <v>0</v>
      </c>
      <c r="M3696" t="b">
        <v>0</v>
      </c>
      <c r="N3696" t="inlineStr">
        <is>
          <t>ref</t>
        </is>
      </c>
      <c r="O3696" t="n">
        <v>85</v>
      </c>
      <c r="P3696" t="n">
        <v>0.01395</v>
      </c>
      <c r="Q3696" t="n">
        <v>-100</v>
      </c>
      <c r="R3696" t="n">
        <v>0.0851</v>
      </c>
      <c r="S3696">
        <f>IMAGE("https://mitra.stanford.edu/kundaje/oak/projects/neuro-variants/variant_position/credible/roussos_2024/variant_figures/roussos_2024.infant.GLU/rs9654908_count_position.png",4,220,900)</f>
        <v/>
      </c>
      <c r="T3696">
        <f>IMAGE("https://mitra.stanford.edu/kundaje/oak/projects/neuro-variants/variant_position/credible/roussos_2024/variant_figures/roussos_2024.infant.GLU/rs9654908_profile_position.png",4,220,900)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0.0259357676</v>
      </c>
      <c r="G3697" t="n">
        <v>0.3534141042638669</v>
      </c>
      <c r="H3697" t="n">
        <v>0.009774629422763401</v>
      </c>
      <c r="I3697" t="n">
        <v>0.763864244507601</v>
      </c>
      <c r="J3697" t="n">
        <v>0.4842434797945281</v>
      </c>
      <c r="K3697" t="n">
        <v>0.0325841955284499</v>
      </c>
      <c r="L3697" t="b">
        <v>0</v>
      </c>
      <c r="M3697" t="b">
        <v>0</v>
      </c>
      <c r="N3697" t="inlineStr">
        <is>
          <t>alt</t>
        </is>
      </c>
      <c r="O3697" t="n">
        <v>100</v>
      </c>
      <c r="P3697" t="n">
        <v>0.01865</v>
      </c>
      <c r="Q3697" t="n">
        <v>-60</v>
      </c>
      <c r="R3697" t="n">
        <v>0.1709</v>
      </c>
      <c r="S3697">
        <f>IMAGE("https://mitra.stanford.edu/kundaje/oak/projects/neuro-variants/variant_position/credible/roussos_2024/variant_figures/roussos_2024.infant.GLU/rs2527310_count_position.png",4,220,900)</f>
        <v/>
      </c>
      <c r="T3697">
        <f>IMAGE("https://mitra.stanford.edu/kundaje/oak/projects/neuro-variants/variant_position/credible/roussos_2024/variant_figures/roussos_2024.infant.GLU/rs2527310_profile_position.png",4,220,900)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0.203140462</v>
      </c>
      <c r="G3698" t="n">
        <v>0.0100949548074561</v>
      </c>
      <c r="H3698" t="n">
        <v>0.0207033874922167</v>
      </c>
      <c r="I3698" t="n">
        <v>0.1724565687593988</v>
      </c>
      <c r="J3698" t="n">
        <v>0.0133689014308075</v>
      </c>
      <c r="K3698" t="n">
        <v>0.6180868835703953</v>
      </c>
      <c r="L3698" t="b">
        <v>1</v>
      </c>
      <c r="M3698" t="b">
        <v>0</v>
      </c>
      <c r="N3698" t="inlineStr">
        <is>
          <t>alt</t>
        </is>
      </c>
      <c r="O3698" t="n">
        <v>100</v>
      </c>
      <c r="P3698" t="n">
        <v>0.03314</v>
      </c>
      <c r="Q3698" t="n">
        <v>35</v>
      </c>
      <c r="R3698" t="n">
        <v>0.0737</v>
      </c>
      <c r="S3698">
        <f>IMAGE("https://mitra.stanford.edu/kundaje/oak/projects/neuro-variants/variant_position/credible/roussos_2024/variant_figures/roussos_2024.infant.GLU/rs2141885_count_position.png",4,220,900)</f>
        <v/>
      </c>
      <c r="T3698">
        <f>IMAGE("https://mitra.stanford.edu/kundaje/oak/projects/neuro-variants/variant_position/credible/roussos_2024/variant_figures/roussos_2024.infant.GLU/rs2141885_profile_position.png",4,220,900)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-0.021469532</v>
      </c>
      <c r="G3699" t="n">
        <v>0.4295560603367286</v>
      </c>
      <c r="H3699" t="n">
        <v>0.0510110554277493</v>
      </c>
      <c r="I3699" t="n">
        <v>0.0069393666645004</v>
      </c>
      <c r="J3699" t="n">
        <v>0.0894805881963887</v>
      </c>
      <c r="K3699" t="n">
        <v>0.239252187493843</v>
      </c>
      <c r="L3699" t="b">
        <v>1</v>
      </c>
      <c r="M3699" t="b">
        <v>1</v>
      </c>
      <c r="N3699" t="inlineStr">
        <is>
          <t>ref</t>
        </is>
      </c>
      <c r="O3699" t="n">
        <v>-75</v>
      </c>
      <c r="P3699" t="n">
        <v>0.006374</v>
      </c>
      <c r="Q3699" t="n">
        <v>-100</v>
      </c>
      <c r="R3699" t="n">
        <v>0.081</v>
      </c>
      <c r="S3699">
        <f>IMAGE("https://mitra.stanford.edu/kundaje/oak/projects/neuro-variants/variant_position/credible/roussos_2024/variant_figures/roussos_2024.infant.GLU/rs7791195_count_position.png",4,220,900)</f>
        <v/>
      </c>
      <c r="T3699">
        <f>IMAGE("https://mitra.stanford.edu/kundaje/oak/projects/neuro-variants/variant_position/credible/roussos_2024/variant_figures/roussos_2024.infant.GLU/rs7791195_profile_position.png",4,220,900)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-0.01064112296</v>
      </c>
      <c r="G3700" t="n">
        <v>0.631345254567367</v>
      </c>
      <c r="H3700" t="n">
        <v>0.0645025863268775</v>
      </c>
      <c r="I3700" t="n">
        <v>0.002129232125274</v>
      </c>
      <c r="J3700" t="n">
        <v>0.009164664123988499</v>
      </c>
      <c r="K3700" t="n">
        <v>0.6715376468487024</v>
      </c>
      <c r="L3700" t="b">
        <v>0</v>
      </c>
      <c r="M3700" t="b">
        <v>0</v>
      </c>
      <c r="N3700" t="inlineStr">
        <is>
          <t>ref</t>
        </is>
      </c>
      <c r="O3700" t="n">
        <v>-45</v>
      </c>
      <c r="P3700" t="n">
        <v>0.006836</v>
      </c>
      <c r="Q3700" t="n">
        <v>-45</v>
      </c>
      <c r="R3700" t="n">
        <v>0.05594</v>
      </c>
      <c r="S3700">
        <f>IMAGE("https://mitra.stanford.edu/kundaje/oak/projects/neuro-variants/variant_position/credible/roussos_2024/variant_figures/roussos_2024.infant.GLU/rs7799227_count_position.png",4,220,900)</f>
        <v/>
      </c>
      <c r="T3700">
        <f>IMAGE("https://mitra.stanford.edu/kundaje/oak/projects/neuro-variants/variant_position/credible/roussos_2024/variant_figures/roussos_2024.infant.GLU/rs7799227_profile_position.png",4,220,900)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-0.0011010862</v>
      </c>
      <c r="G3701" t="n">
        <v>0.7489438552191355</v>
      </c>
      <c r="H3701" t="n">
        <v>0.0273584073697732</v>
      </c>
      <c r="I3701" t="n">
        <v>0.0772314945390446</v>
      </c>
      <c r="J3701" t="n">
        <v>0.1305540245596242</v>
      </c>
      <c r="K3701" t="n">
        <v>0.1699777433460317</v>
      </c>
      <c r="L3701" t="b">
        <v>0</v>
      </c>
      <c r="M3701" t="b">
        <v>0</v>
      </c>
      <c r="N3701" t="inlineStr">
        <is>
          <t>ref</t>
        </is>
      </c>
      <c r="O3701" t="n">
        <v>-70</v>
      </c>
      <c r="P3701" t="n">
        <v>0.009520000000000001</v>
      </c>
      <c r="Q3701" t="n">
        <v>-80</v>
      </c>
      <c r="R3701" t="n">
        <v>0.1556</v>
      </c>
      <c r="S3701">
        <f>IMAGE("https://mitra.stanford.edu/kundaje/oak/projects/neuro-variants/variant_position/credible/roussos_2024/variant_figures/roussos_2024.infant.GLU/rs13231507_count_position.png",4,220,900)</f>
        <v/>
      </c>
      <c r="T3701">
        <f>IMAGE("https://mitra.stanford.edu/kundaje/oak/projects/neuro-variants/variant_position/credible/roussos_2024/variant_figures/roussos_2024.infant.GLU/rs13231507_profile_position.png",4,220,900)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0.0267784066</v>
      </c>
      <c r="G3702" t="n">
        <v>0.3412930227677656</v>
      </c>
      <c r="H3702" t="n">
        <v>0.0284626440972573</v>
      </c>
      <c r="I3702" t="n">
        <v>0.0682106034922292</v>
      </c>
      <c r="J3702" t="n">
        <v>0.083749641746952</v>
      </c>
      <c r="K3702" t="n">
        <v>0.2447997849817313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0.08840000000000001</v>
      </c>
      <c r="Q3702" t="n">
        <v>100</v>
      </c>
      <c r="R3702" t="n">
        <v>0.274</v>
      </c>
      <c r="S3702">
        <f>IMAGE("https://mitra.stanford.edu/kundaje/oak/projects/neuro-variants/variant_position/credible/roussos_2024/variant_figures/roussos_2024.infant.GLU/rs7801170_count_position.png",4,220,900)</f>
        <v/>
      </c>
      <c r="T3702">
        <f>IMAGE("https://mitra.stanford.edu/kundaje/oak/projects/neuro-variants/variant_position/credible/roussos_2024/variant_figures/roussos_2024.infant.GLU/rs7801170_profile_position.png",4,220,900)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-0.0117093812599999</v>
      </c>
      <c r="G3703" t="n">
        <v>0.600026199162246</v>
      </c>
      <c r="H3703" t="n">
        <v>0.0298339181092821</v>
      </c>
      <c r="I3703" t="n">
        <v>0.0595643417804082</v>
      </c>
      <c r="J3703" t="n">
        <v>0.2743060914041314</v>
      </c>
      <c r="K3703" t="n">
        <v>0.0766270885620827</v>
      </c>
      <c r="L3703" t="b">
        <v>0</v>
      </c>
      <c r="M3703" t="b">
        <v>0</v>
      </c>
      <c r="N3703" t="inlineStr">
        <is>
          <t>ref</t>
        </is>
      </c>
      <c r="O3703" t="n">
        <v>85</v>
      </c>
      <c r="P3703" t="n">
        <v>0.02826</v>
      </c>
      <c r="Q3703" t="n">
        <v>-90</v>
      </c>
      <c r="R3703" t="n">
        <v>0.1135</v>
      </c>
      <c r="S3703">
        <f>IMAGE("https://mitra.stanford.edu/kundaje/oak/projects/neuro-variants/variant_position/credible/roussos_2024/variant_figures/roussos_2024.infant.GLU/rs12537428_count_position.png",4,220,900)</f>
        <v/>
      </c>
      <c r="T3703">
        <f>IMAGE("https://mitra.stanford.edu/kundaje/oak/projects/neuro-variants/variant_position/credible/roussos_2024/variant_figures/roussos_2024.infant.GLU/rs12537428_profile_position.png",4,220,900)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-0.121880985</v>
      </c>
      <c r="G3704" t="n">
        <v>0.0369153962632676</v>
      </c>
      <c r="H3704" t="n">
        <v>0.0164836062486675</v>
      </c>
      <c r="I3704" t="n">
        <v>0.2985162416590385</v>
      </c>
      <c r="J3704" t="n">
        <v>0.4709241826318922</v>
      </c>
      <c r="K3704" t="n">
        <v>0.0343936945105418</v>
      </c>
      <c r="L3704" t="b">
        <v>0</v>
      </c>
      <c r="M3704" t="b">
        <v>0</v>
      </c>
      <c r="N3704" t="inlineStr">
        <is>
          <t>ref</t>
        </is>
      </c>
      <c r="O3704" t="n">
        <v>-60</v>
      </c>
      <c r="P3704" t="n">
        <v>0.0385</v>
      </c>
      <c r="Q3704" t="n">
        <v>90</v>
      </c>
      <c r="R3704" t="n">
        <v>0.1279</v>
      </c>
      <c r="S3704">
        <f>IMAGE("https://mitra.stanford.edu/kundaje/oak/projects/neuro-variants/variant_position/credible/roussos_2024/variant_figures/roussos_2024.infant.GLU/rs10486883_count_position.png",4,220,900)</f>
        <v/>
      </c>
      <c r="T3704">
        <f>IMAGE("https://mitra.stanford.edu/kundaje/oak/projects/neuro-variants/variant_position/credible/roussos_2024/variant_figures/roussos_2024.infant.GLU/rs10486883_profile_position.png",4,220,900)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-0.0307756329</v>
      </c>
      <c r="G3705" t="n">
        <v>0.333212003328259</v>
      </c>
      <c r="H3705" t="n">
        <v>0.0394149726694567</v>
      </c>
      <c r="I3705" t="n">
        <v>0.0213670679998067</v>
      </c>
      <c r="J3705" t="n">
        <v>0.0360270288145681</v>
      </c>
      <c r="K3705" t="n">
        <v>0.4106168191628966</v>
      </c>
      <c r="L3705" t="b">
        <v>0</v>
      </c>
      <c r="M3705" t="b">
        <v>0</v>
      </c>
      <c r="N3705" t="inlineStr">
        <is>
          <t>ref</t>
        </is>
      </c>
      <c r="O3705" t="n">
        <v>-95</v>
      </c>
      <c r="P3705" t="n">
        <v>0.0321</v>
      </c>
      <c r="Q3705" t="n">
        <v>-95</v>
      </c>
      <c r="R3705" t="n">
        <v>0.08790000000000001</v>
      </c>
      <c r="S3705">
        <f>IMAGE("https://mitra.stanford.edu/kundaje/oak/projects/neuro-variants/variant_position/credible/roussos_2024/variant_figures/roussos_2024.infant.GLU/rs12154550_count_position.png",4,220,900)</f>
        <v/>
      </c>
      <c r="T3705">
        <f>IMAGE("https://mitra.stanford.edu/kundaje/oak/projects/neuro-variants/variant_position/credible/roussos_2024/variant_figures/roussos_2024.infant.GLU/rs12154550_profile_position.png",4,220,900)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-0.1434583797999999</v>
      </c>
      <c r="G3706" t="n">
        <v>0.024080949023045</v>
      </c>
      <c r="H3706" t="n">
        <v>0.0339699095843046</v>
      </c>
      <c r="I3706" t="n">
        <v>0.0383999173911628</v>
      </c>
      <c r="J3706" t="n">
        <v>0.2146079058180294</v>
      </c>
      <c r="K3706" t="n">
        <v>0.1019775304639314</v>
      </c>
      <c r="L3706" t="b">
        <v>0</v>
      </c>
      <c r="M3706" t="b">
        <v>0</v>
      </c>
      <c r="N3706" t="inlineStr">
        <is>
          <t>ref</t>
        </is>
      </c>
      <c r="O3706" t="n">
        <v>60</v>
      </c>
      <c r="P3706" t="n">
        <v>0.01544</v>
      </c>
      <c r="Q3706" t="n">
        <v>-85</v>
      </c>
      <c r="R3706" t="n">
        <v>0.254</v>
      </c>
      <c r="S3706">
        <f>IMAGE("https://mitra.stanford.edu/kundaje/oak/projects/neuro-variants/variant_position/credible/roussos_2024/variant_figures/roussos_2024.infant.GLU/rs4719223_count_position.png",4,220,900)</f>
        <v/>
      </c>
      <c r="T3706">
        <f>IMAGE("https://mitra.stanford.edu/kundaje/oak/projects/neuro-variants/variant_position/credible/roussos_2024/variant_figures/roussos_2024.infant.GLU/rs4719223_profile_position.png",4,220,900)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-0.022097723</v>
      </c>
      <c r="G3707" t="n">
        <v>0.4267893375813899</v>
      </c>
      <c r="H3707" t="n">
        <v>0.0668580976537075</v>
      </c>
      <c r="I3707" t="n">
        <v>0.0017694385491943</v>
      </c>
      <c r="J3707" t="n">
        <v>0.0118102250931457</v>
      </c>
      <c r="K3707" t="n">
        <v>0.6433710999931039</v>
      </c>
      <c r="L3707" t="b">
        <v>1</v>
      </c>
      <c r="M3707" t="b">
        <v>0</v>
      </c>
      <c r="N3707" t="inlineStr">
        <is>
          <t>ref</t>
        </is>
      </c>
      <c r="O3707" t="n">
        <v>85</v>
      </c>
      <c r="P3707" t="n">
        <v>0.013916</v>
      </c>
      <c r="Q3707" t="n">
        <v>85</v>
      </c>
      <c r="R3707" t="n">
        <v>0.147</v>
      </c>
      <c r="S3707">
        <f>IMAGE("https://mitra.stanford.edu/kundaje/oak/projects/neuro-variants/variant_position/credible/roussos_2024/variant_figures/roussos_2024.infant.GLU/rs5025436_count_position.png",4,220,900)</f>
        <v/>
      </c>
      <c r="T3707">
        <f>IMAGE("https://mitra.stanford.edu/kundaje/oak/projects/neuro-variants/variant_position/credible/roussos_2024/variant_figures/roussos_2024.infant.GLU/rs5025436_profile_position.png",4,220,900)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-0.0293418893999999</v>
      </c>
      <c r="G3708" t="n">
        <v>0.1700876167612691</v>
      </c>
      <c r="H3708" t="n">
        <v>0.0200282584684896</v>
      </c>
      <c r="I3708" t="n">
        <v>0.1889258066033419</v>
      </c>
      <c r="J3708" t="n">
        <v>0.1004420291452632</v>
      </c>
      <c r="K3708" t="n">
        <v>0.2150374004979284</v>
      </c>
      <c r="L3708" t="b">
        <v>0</v>
      </c>
      <c r="M3708" t="b">
        <v>0</v>
      </c>
      <c r="N3708" t="inlineStr">
        <is>
          <t>ref</t>
        </is>
      </c>
      <c r="O3708" t="n">
        <v>-25</v>
      </c>
      <c r="P3708" t="n">
        <v>0.008619999999999999</v>
      </c>
      <c r="Q3708" t="n">
        <v>-100</v>
      </c>
      <c r="R3708" t="n">
        <v>0.09429999999999999</v>
      </c>
      <c r="S3708">
        <f>IMAGE("https://mitra.stanford.edu/kundaje/oak/projects/neuro-variants/variant_position/credible/roussos_2024/variant_figures/roussos_2024.infant.GLU/rs78928669_count_position.png",4,220,900)</f>
        <v/>
      </c>
      <c r="T3708">
        <f>IMAGE("https://mitra.stanford.edu/kundaje/oak/projects/neuro-variants/variant_position/credible/roussos_2024/variant_figures/roussos_2024.infant.GLU/rs78928669_profile_position.png",4,220,900)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-0.0580954874</v>
      </c>
      <c r="G3709" t="n">
        <v>0.1408487536504518</v>
      </c>
      <c r="H3709" t="n">
        <v>0.0103473398851192</v>
      </c>
      <c r="I3709" t="n">
        <v>0.7040750964009401</v>
      </c>
      <c r="J3709" t="n">
        <v>0.0646222359399457</v>
      </c>
      <c r="K3709" t="n">
        <v>0.2847406421153895</v>
      </c>
      <c r="L3709" t="b">
        <v>0</v>
      </c>
      <c r="M3709" t="b">
        <v>0</v>
      </c>
      <c r="N3709" t="inlineStr">
        <is>
          <t>ref</t>
        </is>
      </c>
      <c r="O3709" t="n">
        <v>100</v>
      </c>
      <c r="P3709" t="n">
        <v>0.009124999999999999</v>
      </c>
      <c r="Q3709" t="n">
        <v>-100</v>
      </c>
      <c r="R3709" t="n">
        <v>0.07214</v>
      </c>
      <c r="S3709">
        <f>IMAGE("https://mitra.stanford.edu/kundaje/oak/projects/neuro-variants/variant_position/credible/roussos_2024/variant_figures/roussos_2024.infant.GLU/rs2944829_count_position.png",4,220,900)</f>
        <v/>
      </c>
      <c r="T3709">
        <f>IMAGE("https://mitra.stanford.edu/kundaje/oak/projects/neuro-variants/variant_position/credible/roussos_2024/variant_figures/roussos_2024.infant.GLU/rs2944829_profile_position.png",4,220,900)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0.0919622337999999</v>
      </c>
      <c r="G3710" t="n">
        <v>0.0630486647906119</v>
      </c>
      <c r="H3710" t="n">
        <v>0.0117440268582257</v>
      </c>
      <c r="I3710" t="n">
        <v>0.5828121194166666</v>
      </c>
      <c r="J3710" t="n">
        <v>0.0108423907052624</v>
      </c>
      <c r="K3710" t="n">
        <v>0.6546691027279471</v>
      </c>
      <c r="L3710" t="b">
        <v>0</v>
      </c>
      <c r="M3710" t="b">
        <v>0</v>
      </c>
      <c r="N3710" t="inlineStr">
        <is>
          <t>alt</t>
        </is>
      </c>
      <c r="O3710" t="n">
        <v>60</v>
      </c>
      <c r="P3710" t="n">
        <v>0.00329</v>
      </c>
      <c r="Q3710" t="n">
        <v>-25</v>
      </c>
      <c r="R3710" t="n">
        <v>0.05347</v>
      </c>
      <c r="S3710">
        <f>IMAGE("https://mitra.stanford.edu/kundaje/oak/projects/neuro-variants/variant_position/credible/roussos_2024/variant_figures/roussos_2024.infant.GLU/rs2944825_count_position.png",4,220,900)</f>
        <v/>
      </c>
      <c r="T3710">
        <f>IMAGE("https://mitra.stanford.edu/kundaje/oak/projects/neuro-variants/variant_position/credible/roussos_2024/variant_figures/roussos_2024.infant.GLU/rs2944825_profile_position.png",4,220,900)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-0.1151243254</v>
      </c>
      <c r="G3711" t="n">
        <v>0.0401935761571659</v>
      </c>
      <c r="H3711" t="n">
        <v>0.0224148398542935</v>
      </c>
      <c r="I3711" t="n">
        <v>0.1427940527302147</v>
      </c>
      <c r="J3711" t="n">
        <v>0.029302894684627</v>
      </c>
      <c r="K3711" t="n">
        <v>0.4584384126086904</v>
      </c>
      <c r="L3711" t="b">
        <v>0</v>
      </c>
      <c r="M3711" t="b">
        <v>0</v>
      </c>
      <c r="N3711" t="inlineStr">
        <is>
          <t>ref</t>
        </is>
      </c>
      <c r="O3711" t="n">
        <v>-95</v>
      </c>
      <c r="P3711" t="n">
        <v>0.01036</v>
      </c>
      <c r="Q3711" t="n">
        <v>45</v>
      </c>
      <c r="R3711" t="n">
        <v>0.0467</v>
      </c>
      <c r="S3711">
        <f>IMAGE("https://mitra.stanford.edu/kundaje/oak/projects/neuro-variants/variant_position/credible/roussos_2024/variant_figures/roussos_2024.infant.GLU/rs11768943_count_position.png",4,220,900)</f>
        <v/>
      </c>
      <c r="T3711">
        <f>IMAGE("https://mitra.stanford.edu/kundaje/oak/projects/neuro-variants/variant_position/credible/roussos_2024/variant_figures/roussos_2024.infant.GLU/rs11768943_profile_position.png",4,220,900)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-0.1124647747999999</v>
      </c>
      <c r="G3712" t="n">
        <v>0.0408704115764498</v>
      </c>
      <c r="H3712" t="n">
        <v>0.0215627304870313</v>
      </c>
      <c r="I3712" t="n">
        <v>0.1533201326731152</v>
      </c>
      <c r="J3712" t="n">
        <v>0.3337154699177671</v>
      </c>
      <c r="K3712" t="n">
        <v>0.0585142990622669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0.09424</v>
      </c>
      <c r="Q3712" t="n">
        <v>100</v>
      </c>
      <c r="R3712" t="n">
        <v>0.2876</v>
      </c>
      <c r="S3712">
        <f>IMAGE("https://mitra.stanford.edu/kundaje/oak/projects/neuro-variants/variant_position/credible/roussos_2024/variant_figures/roussos_2024.infant.GLU/rs2944814_count_position.png",4,220,900)</f>
        <v/>
      </c>
      <c r="T3712">
        <f>IMAGE("https://mitra.stanford.edu/kundaje/oak/projects/neuro-variants/variant_position/credible/roussos_2024/variant_figures/roussos_2024.infant.GLU/rs2944814_profile_position.png",4,220,900)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0.02491748946</v>
      </c>
      <c r="G3713" t="n">
        <v>0.3747424746973204</v>
      </c>
      <c r="H3713" t="n">
        <v>0.0320010274152956</v>
      </c>
      <c r="I3713" t="n">
        <v>0.0463536550861638</v>
      </c>
      <c r="J3713" t="n">
        <v>0.0031867986507638</v>
      </c>
      <c r="K3713" t="n">
        <v>0.8177679144754167</v>
      </c>
      <c r="L3713" t="b">
        <v>0</v>
      </c>
      <c r="M3713" t="b">
        <v>0</v>
      </c>
      <c r="N3713" t="inlineStr">
        <is>
          <t>alt</t>
        </is>
      </c>
      <c r="O3713" t="n">
        <v>-100</v>
      </c>
      <c r="P3713" t="n">
        <v>0.00961</v>
      </c>
      <c r="Q3713" t="n">
        <v>0</v>
      </c>
      <c r="R3713" t="n">
        <v>0</v>
      </c>
      <c r="S3713">
        <f>IMAGE("https://mitra.stanford.edu/kundaje/oak/projects/neuro-variants/variant_position/credible/roussos_2024/variant_figures/roussos_2024.infant.GLU/rs11764286_count_position.png",4,220,900)</f>
        <v/>
      </c>
      <c r="T3713">
        <f>IMAGE("https://mitra.stanford.edu/kundaje/oak/projects/neuro-variants/variant_position/credible/roussos_2024/variant_figures/roussos_2024.infant.GLU/rs11764286_profile_position.png",4,220,900)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0.01134525316</v>
      </c>
      <c r="G3714" t="n">
        <v>0.5981497701893458</v>
      </c>
      <c r="H3714" t="n">
        <v>0.0331299203318683</v>
      </c>
      <c r="I3714" t="n">
        <v>0.0410487415161263</v>
      </c>
      <c r="J3714" t="n">
        <v>0.07778059481029111</v>
      </c>
      <c r="K3714" t="n">
        <v>0.2560212501490074</v>
      </c>
      <c r="L3714" t="b">
        <v>0</v>
      </c>
      <c r="M3714" t="b">
        <v>0</v>
      </c>
      <c r="N3714" t="inlineStr">
        <is>
          <t>alt</t>
        </is>
      </c>
      <c r="O3714" t="n">
        <v>60</v>
      </c>
      <c r="P3714" t="n">
        <v>0.01294</v>
      </c>
      <c r="Q3714" t="n">
        <v>95</v>
      </c>
      <c r="R3714" t="n">
        <v>0.1567</v>
      </c>
      <c r="S3714">
        <f>IMAGE("https://mitra.stanford.edu/kundaje/oak/projects/neuro-variants/variant_position/credible/roussos_2024/variant_figures/roussos_2024.infant.GLU/rs2944808_count_position.png",4,220,900)</f>
        <v/>
      </c>
      <c r="T3714">
        <f>IMAGE("https://mitra.stanford.edu/kundaje/oak/projects/neuro-variants/variant_position/credible/roussos_2024/variant_figures/roussos_2024.infant.GLU/rs2944808_profile_position.png",4,220,900)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-0.00805329944</v>
      </c>
      <c r="G3715" t="n">
        <v>0.6791125605213262</v>
      </c>
      <c r="H3715" t="n">
        <v>0.0330323177094618</v>
      </c>
      <c r="I3715" t="n">
        <v>0.0416972350918952</v>
      </c>
      <c r="J3715" t="n">
        <v>0.075843823717454</v>
      </c>
      <c r="K3715" t="n">
        <v>0.2607992619586921</v>
      </c>
      <c r="L3715" t="b">
        <v>0</v>
      </c>
      <c r="M3715" t="b">
        <v>0</v>
      </c>
      <c r="N3715" t="inlineStr">
        <is>
          <t>ref</t>
        </is>
      </c>
      <c r="O3715" t="n">
        <v>80</v>
      </c>
      <c r="P3715" t="n">
        <v>0.01685</v>
      </c>
      <c r="Q3715" t="n">
        <v>90</v>
      </c>
      <c r="R3715" t="n">
        <v>0.1326</v>
      </c>
      <c r="S3715">
        <f>IMAGE("https://mitra.stanford.edu/kundaje/oak/projects/neuro-variants/variant_position/credible/roussos_2024/variant_figures/roussos_2024.infant.GLU/rs2968518_count_position.png",4,220,900)</f>
        <v/>
      </c>
      <c r="T3715">
        <f>IMAGE("https://mitra.stanford.edu/kundaje/oak/projects/neuro-variants/variant_position/credible/roussos_2024/variant_figures/roussos_2024.infant.GLU/rs2968518_profile_position.png",4,220,900)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-0.015066392</v>
      </c>
      <c r="G3716" t="n">
        <v>0.4747796325142678</v>
      </c>
      <c r="H3716" t="n">
        <v>0.0155239570416931</v>
      </c>
      <c r="I3716" t="n">
        <v>0.3344998653497108</v>
      </c>
      <c r="J3716" t="n">
        <v>0.1877510527128023</v>
      </c>
      <c r="K3716" t="n">
        <v>0.1200895517386316</v>
      </c>
      <c r="L3716" t="b">
        <v>0</v>
      </c>
      <c r="M3716" t="b">
        <v>0</v>
      </c>
      <c r="N3716" t="inlineStr">
        <is>
          <t>ref</t>
        </is>
      </c>
      <c r="O3716" t="n">
        <v>20</v>
      </c>
      <c r="P3716" t="n">
        <v>0.05408</v>
      </c>
      <c r="Q3716" t="n">
        <v>-15</v>
      </c>
      <c r="R3716" t="n">
        <v>0.0503</v>
      </c>
      <c r="S3716">
        <f>IMAGE("https://mitra.stanford.edu/kundaje/oak/projects/neuro-variants/variant_position/credible/roussos_2024/variant_figures/roussos_2024.infant.GLU/rs2968538_count_position.png",4,220,900)</f>
        <v/>
      </c>
      <c r="T3716">
        <f>IMAGE("https://mitra.stanford.edu/kundaje/oak/projects/neuro-variants/variant_position/credible/roussos_2024/variant_figures/roussos_2024.infant.GLU/rs2968538_profile_position.png",4,220,900)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-0.00517781476</v>
      </c>
      <c r="G3717" t="n">
        <v>0.5732353607943265</v>
      </c>
      <c r="H3717" t="n">
        <v>0.0121401394457726</v>
      </c>
      <c r="I3717" t="n">
        <v>0.5450443070545671</v>
      </c>
      <c r="J3717" t="n">
        <v>0.0060451068145241</v>
      </c>
      <c r="K3717" t="n">
        <v>0.7282265113039186</v>
      </c>
      <c r="L3717" t="b">
        <v>0</v>
      </c>
      <c r="M3717" t="b">
        <v>0</v>
      </c>
      <c r="N3717" t="inlineStr">
        <is>
          <t>ref</t>
        </is>
      </c>
      <c r="O3717" t="n">
        <v>-75</v>
      </c>
      <c r="P3717" t="n">
        <v>0.03424</v>
      </c>
      <c r="Q3717" t="n">
        <v>-65</v>
      </c>
      <c r="R3717" t="n">
        <v>0.0633</v>
      </c>
      <c r="S3717">
        <f>IMAGE("https://mitra.stanford.edu/kundaje/oak/projects/neuro-variants/variant_position/credible/roussos_2024/variant_figures/roussos_2024.infant.GLU/rs6963266_count_position.png",4,220,900)</f>
        <v/>
      </c>
      <c r="T3717">
        <f>IMAGE("https://mitra.stanford.edu/kundaje/oak/projects/neuro-variants/variant_position/credible/roussos_2024/variant_figures/roussos_2024.infant.GLU/rs6963266_profile_position.png",4,220,900)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-0.0280286556</v>
      </c>
      <c r="G3718" t="n">
        <v>0.3364276765828794</v>
      </c>
      <c r="H3718" t="n">
        <v>0.008534122739921299</v>
      </c>
      <c r="I3718" t="n">
        <v>0.8644920076288174</v>
      </c>
      <c r="J3718" t="n">
        <v>0.0399755285610352</v>
      </c>
      <c r="K3718" t="n">
        <v>0.392858963852786</v>
      </c>
      <c r="L3718" t="b">
        <v>0</v>
      </c>
      <c r="M3718" t="b">
        <v>0</v>
      </c>
      <c r="N3718" t="inlineStr">
        <is>
          <t>ref</t>
        </is>
      </c>
      <c r="O3718" t="n">
        <v>-90</v>
      </c>
      <c r="P3718" t="n">
        <v>0.01057</v>
      </c>
      <c r="Q3718" t="n">
        <v>100</v>
      </c>
      <c r="R3718" t="n">
        <v>0.1616</v>
      </c>
      <c r="S3718">
        <f>IMAGE("https://mitra.stanford.edu/kundaje/oak/projects/neuro-variants/variant_position/credible/roussos_2024/variant_figures/roussos_2024.infant.GLU/rs6467913_count_position.png",4,220,900)</f>
        <v/>
      </c>
      <c r="T3718">
        <f>IMAGE("https://mitra.stanford.edu/kundaje/oak/projects/neuro-variants/variant_position/credible/roussos_2024/variant_figures/roussos_2024.infant.GLU/rs6467913_profile_position.png",4,220,900)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0.01410964934</v>
      </c>
      <c r="G3719" t="n">
        <v>0.5364577972523383</v>
      </c>
      <c r="H3719" t="n">
        <v>0.0392124768720748</v>
      </c>
      <c r="I3719" t="n">
        <v>0.0221459331042178</v>
      </c>
      <c r="J3719" t="n">
        <v>0.0546727220617738</v>
      </c>
      <c r="K3719" t="n">
        <v>0.3202195237348203</v>
      </c>
      <c r="L3719" t="b">
        <v>0</v>
      </c>
      <c r="M3719" t="b">
        <v>0</v>
      </c>
      <c r="N3719" t="inlineStr">
        <is>
          <t>alt</t>
        </is>
      </c>
      <c r="O3719" t="n">
        <v>100</v>
      </c>
      <c r="P3719" t="n">
        <v>0.04282</v>
      </c>
      <c r="Q3719" t="n">
        <v>-100</v>
      </c>
      <c r="R3719" t="n">
        <v>0.05</v>
      </c>
      <c r="S3719">
        <f>IMAGE("https://mitra.stanford.edu/kundaje/oak/projects/neuro-variants/variant_position/credible/roussos_2024/variant_figures/roussos_2024.infant.GLU/rs13235048_count_position.png",4,220,900)</f>
        <v/>
      </c>
      <c r="T3719">
        <f>IMAGE("https://mitra.stanford.edu/kundaje/oak/projects/neuro-variants/variant_position/credible/roussos_2024/variant_figures/roussos_2024.infant.GLU/rs13235048_profile_position.png",4,220,900)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-0.118056194</v>
      </c>
      <c r="G3720" t="n">
        <v>0.0365838553130555</v>
      </c>
      <c r="H3720" t="n">
        <v>0.0313421938611333</v>
      </c>
      <c r="I3720" t="n">
        <v>0.0501911789419439</v>
      </c>
      <c r="J3720" t="n">
        <v>0.1162283119116382</v>
      </c>
      <c r="K3720" t="n">
        <v>0.1886497574622223</v>
      </c>
      <c r="L3720" t="b">
        <v>0</v>
      </c>
      <c r="M3720" t="b">
        <v>0</v>
      </c>
      <c r="N3720" t="inlineStr">
        <is>
          <t>ref</t>
        </is>
      </c>
      <c r="O3720" t="n">
        <v>-75</v>
      </c>
      <c r="P3720" t="n">
        <v>0.004303</v>
      </c>
      <c r="Q3720" t="n">
        <v>45</v>
      </c>
      <c r="R3720" t="n">
        <v>0.03662</v>
      </c>
      <c r="S3720">
        <f>IMAGE("https://mitra.stanford.edu/kundaje/oak/projects/neuro-variants/variant_position/credible/roussos_2024/variant_figures/roussos_2024.infant.GLU/rs17284668_count_position.png",4,220,900)</f>
        <v/>
      </c>
      <c r="T3720">
        <f>IMAGE("https://mitra.stanford.edu/kundaje/oak/projects/neuro-variants/variant_position/credible/roussos_2024/variant_figures/roussos_2024.infant.GLU/rs17284668_profile_position.png",4,220,900)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0.00297790294</v>
      </c>
      <c r="G3721" t="n">
        <v>0.726206879896889</v>
      </c>
      <c r="H3721" t="n">
        <v>0.0329449058459806</v>
      </c>
      <c r="I3721" t="n">
        <v>0.0421898230334017</v>
      </c>
      <c r="J3721" t="n">
        <v>0.0558246434004276</v>
      </c>
      <c r="K3721" t="n">
        <v>0.3186924666646123</v>
      </c>
      <c r="L3721" t="b">
        <v>0</v>
      </c>
      <c r="M3721" t="b">
        <v>0</v>
      </c>
      <c r="N3721" t="inlineStr">
        <is>
          <t>alt</t>
        </is>
      </c>
      <c r="O3721" t="n">
        <v>5</v>
      </c>
      <c r="P3721" t="n">
        <v>0.010864</v>
      </c>
      <c r="Q3721" t="n">
        <v>50</v>
      </c>
      <c r="R3721" t="n">
        <v>0.06569999999999999</v>
      </c>
      <c r="S3721">
        <f>IMAGE("https://mitra.stanford.edu/kundaje/oak/projects/neuro-variants/variant_position/credible/roussos_2024/variant_figures/roussos_2024.infant.GLU/rs2189246_count_position.png",4,220,900)</f>
        <v/>
      </c>
      <c r="T3721">
        <f>IMAGE("https://mitra.stanford.edu/kundaje/oak/projects/neuro-variants/variant_position/credible/roussos_2024/variant_figures/roussos_2024.infant.GLU/rs2189246_profile_position.png",4,220,900)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0.0036094337199999</v>
      </c>
      <c r="G3722" t="n">
        <v>0.7063003505210068</v>
      </c>
      <c r="H3722" t="n">
        <v>0.0317507363367652</v>
      </c>
      <c r="I3722" t="n">
        <v>0.0481504132393293</v>
      </c>
      <c r="J3722" t="n">
        <v>0.2653894486210013</v>
      </c>
      <c r="K3722" t="n">
        <v>0.078879229716147</v>
      </c>
      <c r="L3722" t="b">
        <v>0</v>
      </c>
      <c r="M3722" t="b">
        <v>0</v>
      </c>
      <c r="N3722" t="inlineStr">
        <is>
          <t>alt</t>
        </is>
      </c>
      <c r="O3722" t="n">
        <v>-15</v>
      </c>
      <c r="P3722" t="n">
        <v>0.00464</v>
      </c>
      <c r="Q3722" t="n">
        <v>-95</v>
      </c>
      <c r="R3722" t="n">
        <v>0.04004</v>
      </c>
      <c r="S3722">
        <f>IMAGE("https://mitra.stanford.edu/kundaje/oak/projects/neuro-variants/variant_position/credible/roussos_2024/variant_figures/roussos_2024.infant.GLU/rs2189247_count_position.png",4,220,900)</f>
        <v/>
      </c>
      <c r="T3722">
        <f>IMAGE("https://mitra.stanford.edu/kundaje/oak/projects/neuro-variants/variant_position/credible/roussos_2024/variant_figures/roussos_2024.infant.GLU/rs2189247_profile_position.png",4,220,900)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-0.0395223488</v>
      </c>
      <c r="G3723" t="n">
        <v>0.2363814862401246</v>
      </c>
      <c r="H3723" t="n">
        <v>0.0485665145269258</v>
      </c>
      <c r="I3723" t="n">
        <v>0.0087530406489848</v>
      </c>
      <c r="J3723" t="n">
        <v>0.0382702440529993</v>
      </c>
      <c r="K3723" t="n">
        <v>0.4033517321113901</v>
      </c>
      <c r="L3723" t="b">
        <v>1</v>
      </c>
      <c r="M3723" t="b">
        <v>0</v>
      </c>
      <c r="N3723" t="inlineStr">
        <is>
          <t>ref</t>
        </is>
      </c>
      <c r="O3723" t="n">
        <v>55</v>
      </c>
      <c r="P3723" t="n">
        <v>0.00586</v>
      </c>
      <c r="Q3723" t="n">
        <v>60</v>
      </c>
      <c r="R3723" t="n">
        <v>0.0526</v>
      </c>
      <c r="S3723">
        <f>IMAGE("https://mitra.stanford.edu/kundaje/oak/projects/neuro-variants/variant_position/credible/roussos_2024/variant_figures/roussos_2024.infant.GLU/rs2715148_count_position.png",4,220,900)</f>
        <v/>
      </c>
      <c r="T3723">
        <f>IMAGE("https://mitra.stanford.edu/kundaje/oak/projects/neuro-variants/variant_position/credible/roussos_2024/variant_figures/roussos_2024.infant.GLU/rs2715148_profile_position.png",4,220,900)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-0.00744877086</v>
      </c>
      <c r="G3724" t="n">
        <v>0.7280060294126764</v>
      </c>
      <c r="H3724" t="n">
        <v>0.0352634609297409</v>
      </c>
      <c r="I3724" t="n">
        <v>0.0329950421010703</v>
      </c>
      <c r="J3724" t="n">
        <v>0.0054983575475649</v>
      </c>
      <c r="K3724" t="n">
        <v>0.7396376491973894</v>
      </c>
      <c r="L3724" t="b">
        <v>0</v>
      </c>
      <c r="M3724" t="b">
        <v>0</v>
      </c>
      <c r="N3724" t="inlineStr">
        <is>
          <t>ref</t>
        </is>
      </c>
      <c r="O3724" t="n">
        <v>-60</v>
      </c>
      <c r="P3724" t="n">
        <v>0.02032</v>
      </c>
      <c r="Q3724" t="n">
        <v>25</v>
      </c>
      <c r="R3724" t="n">
        <v>0.04126</v>
      </c>
      <c r="S3724">
        <f>IMAGE("https://mitra.stanford.edu/kundaje/oak/projects/neuro-variants/variant_position/credible/roussos_2024/variant_figures/roussos_2024.infant.GLU/rs2522839_count_position.png",4,220,900)</f>
        <v/>
      </c>
      <c r="T3724">
        <f>IMAGE("https://mitra.stanford.edu/kundaje/oak/projects/neuro-variants/variant_position/credible/roussos_2024/variant_figures/roussos_2024.infant.GLU/rs2522839_profile_position.png",4,220,900)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0.024837045</v>
      </c>
      <c r="G3725" t="n">
        <v>0.3676253083868878</v>
      </c>
      <c r="H3725" t="n">
        <v>0.0479890221356483</v>
      </c>
      <c r="I3725" t="n">
        <v>0.009214787633150701</v>
      </c>
      <c r="J3725" t="n">
        <v>0.0215150245816706</v>
      </c>
      <c r="K3725" t="n">
        <v>0.5229296388131988</v>
      </c>
      <c r="L3725" t="b">
        <v>1</v>
      </c>
      <c r="M3725" t="b">
        <v>0</v>
      </c>
      <c r="N3725" t="inlineStr">
        <is>
          <t>alt</t>
        </is>
      </c>
      <c r="O3725" t="n">
        <v>-90</v>
      </c>
      <c r="P3725" t="n">
        <v>0.03314</v>
      </c>
      <c r="Q3725" t="n">
        <v>-90</v>
      </c>
      <c r="R3725" t="n">
        <v>0.02684</v>
      </c>
      <c r="S3725">
        <f>IMAGE("https://mitra.stanford.edu/kundaje/oak/projects/neuro-variants/variant_position/credible/roussos_2024/variant_figures/roussos_2024.infant.GLU/rs2107069_count_position.png",4,220,900)</f>
        <v/>
      </c>
      <c r="T3725">
        <f>IMAGE("https://mitra.stanford.edu/kundaje/oak/projects/neuro-variants/variant_position/credible/roussos_2024/variant_figures/roussos_2024.infant.GLU/rs2107069_profile_position.png",4,220,900)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0.0423255002</v>
      </c>
      <c r="G3726" t="n">
        <v>0.2107989546646732</v>
      </c>
      <c r="H3726" t="n">
        <v>0.0110375928429467</v>
      </c>
      <c r="I3726" t="n">
        <v>0.6354512778711195</v>
      </c>
      <c r="J3726" t="n">
        <v>0.07837143676006959</v>
      </c>
      <c r="K3726" t="n">
        <v>0.2491927951122944</v>
      </c>
      <c r="L3726" t="b">
        <v>0</v>
      </c>
      <c r="M3726" t="b">
        <v>0</v>
      </c>
      <c r="N3726" t="inlineStr">
        <is>
          <t>alt</t>
        </is>
      </c>
      <c r="O3726" t="n">
        <v>65</v>
      </c>
      <c r="P3726" t="n">
        <v>0.01862</v>
      </c>
      <c r="Q3726" t="n">
        <v>95</v>
      </c>
      <c r="R3726" t="n">
        <v>0.01511</v>
      </c>
      <c r="S3726">
        <f>IMAGE("https://mitra.stanford.edu/kundaje/oak/projects/neuro-variants/variant_position/credible/roussos_2024/variant_figures/roussos_2024.infant.GLU/rs1986742_count_position.png",4,220,900)</f>
        <v/>
      </c>
      <c r="T3726">
        <f>IMAGE("https://mitra.stanford.edu/kundaje/oak/projects/neuro-variants/variant_position/credible/roussos_2024/variant_figures/roussos_2024.infant.GLU/rs1986742_profile_position.png",4,220,900)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-0.022855161</v>
      </c>
      <c r="G3727" t="n">
        <v>0.4057654445985221</v>
      </c>
      <c r="H3727" t="n">
        <v>0.0596122166074806</v>
      </c>
      <c r="I3727" t="n">
        <v>0.0031851491387853</v>
      </c>
      <c r="J3727" t="n">
        <v>0.0585308318084613</v>
      </c>
      <c r="K3727" t="n">
        <v>0.306892504237325</v>
      </c>
      <c r="L3727" t="b">
        <v>1</v>
      </c>
      <c r="M3727" t="b">
        <v>1</v>
      </c>
      <c r="N3727" t="inlineStr">
        <is>
          <t>ref</t>
        </is>
      </c>
      <c r="O3727" t="n">
        <v>-100</v>
      </c>
      <c r="P3727" t="n">
        <v>0.0941</v>
      </c>
      <c r="Q3727" t="n">
        <v>-65</v>
      </c>
      <c r="R3727" t="n">
        <v>0.03076</v>
      </c>
      <c r="S3727">
        <f>IMAGE("https://mitra.stanford.edu/kundaje/oak/projects/neuro-variants/variant_position/credible/roussos_2024/variant_figures/roussos_2024.infant.GLU/rs11761974_count_position.png",4,220,900)</f>
        <v/>
      </c>
      <c r="T3727">
        <f>IMAGE("https://mitra.stanford.edu/kundaje/oak/projects/neuro-variants/variant_position/credible/roussos_2024/variant_figures/roussos_2024.infant.GLU/rs11761974_profile_position.png",4,220,900)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0.0491306338</v>
      </c>
      <c r="G3728" t="n">
        <v>0.1903917463049138</v>
      </c>
      <c r="H3728" t="n">
        <v>0.0316732705913373</v>
      </c>
      <c r="I3728" t="n">
        <v>0.0483208223422397</v>
      </c>
      <c r="J3728" t="n">
        <v>0.0429010780660948</v>
      </c>
      <c r="K3728" t="n">
        <v>0.3712163457886131</v>
      </c>
      <c r="L3728" t="b">
        <v>0</v>
      </c>
      <c r="M3728" t="b">
        <v>0</v>
      </c>
      <c r="N3728" t="inlineStr">
        <is>
          <t>alt</t>
        </is>
      </c>
      <c r="O3728" t="n">
        <v>-35</v>
      </c>
      <c r="P3728" t="n">
        <v>0.0008545</v>
      </c>
      <c r="Q3728" t="n">
        <v>-80</v>
      </c>
      <c r="R3728" t="n">
        <v>0.04755</v>
      </c>
      <c r="S3728">
        <f>IMAGE("https://mitra.stanford.edu/kundaje/oak/projects/neuro-variants/variant_position/credible/roussos_2024/variant_figures/roussos_2024.infant.GLU/rs62458571_count_position.png",4,220,900)</f>
        <v/>
      </c>
      <c r="T3728">
        <f>IMAGE("https://mitra.stanford.edu/kundaje/oak/projects/neuro-variants/variant_position/credible/roussos_2024/variant_figures/roussos_2024.infant.GLU/rs62458571_profile_position.png",4,220,900)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0.0314979056</v>
      </c>
      <c r="G3729" t="n">
        <v>0.2928379213773875</v>
      </c>
      <c r="H3729" t="n">
        <v>0.0357766529526435</v>
      </c>
      <c r="I3729" t="n">
        <v>0.0310966936357688</v>
      </c>
      <c r="J3729" t="n">
        <v>0.0200291011706606</v>
      </c>
      <c r="K3729" t="n">
        <v>0.5643461004258616</v>
      </c>
      <c r="L3729" t="b">
        <v>0</v>
      </c>
      <c r="M3729" t="b">
        <v>0</v>
      </c>
      <c r="N3729" t="inlineStr">
        <is>
          <t>alt</t>
        </is>
      </c>
      <c r="O3729" t="n">
        <v>-65</v>
      </c>
      <c r="P3729" t="n">
        <v>0.00537</v>
      </c>
      <c r="Q3729" t="n">
        <v>-70</v>
      </c>
      <c r="R3729" t="n">
        <v>0.1277</v>
      </c>
      <c r="S3729">
        <f>IMAGE("https://mitra.stanford.edu/kundaje/oak/projects/neuro-variants/variant_position/credible/roussos_2024/variant_figures/roussos_2024.infant.GLU/rs13244678_count_position.png",4,220,900)</f>
        <v/>
      </c>
      <c r="T3729">
        <f>IMAGE("https://mitra.stanford.edu/kundaje/oak/projects/neuro-variants/variant_position/credible/roussos_2024/variant_figures/roussos_2024.infant.GLU/rs13244678_profile_position.png",4,220,900)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-0.08727617039999989</v>
      </c>
      <c r="G3730" t="n">
        <v>0.070833245700499</v>
      </c>
      <c r="H3730" t="n">
        <v>0.0164921738637314</v>
      </c>
      <c r="I3730" t="n">
        <v>0.2935582277739921</v>
      </c>
      <c r="J3730" t="n">
        <v>0.0886637712471614</v>
      </c>
      <c r="K3730" t="n">
        <v>0.2295665803341148</v>
      </c>
      <c r="L3730" t="b">
        <v>0</v>
      </c>
      <c r="M3730" t="b">
        <v>0</v>
      </c>
      <c r="N3730" t="inlineStr">
        <is>
          <t>ref</t>
        </is>
      </c>
      <c r="O3730" t="n">
        <v>-100</v>
      </c>
      <c r="P3730" t="n">
        <v>0.01651</v>
      </c>
      <c r="Q3730" t="n">
        <v>100</v>
      </c>
      <c r="R3730" t="n">
        <v>0.04834</v>
      </c>
      <c r="S3730">
        <f>IMAGE("https://mitra.stanford.edu/kundaje/oak/projects/neuro-variants/variant_position/credible/roussos_2024/variant_figures/roussos_2024.infant.GLU/rs13231757_count_position.png",4,220,900)</f>
        <v/>
      </c>
      <c r="T3730">
        <f>IMAGE("https://mitra.stanford.edu/kundaje/oak/projects/neuro-variants/variant_position/credible/roussos_2024/variant_figures/roussos_2024.infant.GLU/rs13231757_profile_position.png",4,220,900)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-0.1047862448</v>
      </c>
      <c r="G3731" t="n">
        <v>0.0471826274784262</v>
      </c>
      <c r="H3731" t="n">
        <v>0.0362444504839217</v>
      </c>
      <c r="I3731" t="n">
        <v>0.0295975431952823</v>
      </c>
      <c r="J3731" t="n">
        <v>0.0390264335633501</v>
      </c>
      <c r="K3731" t="n">
        <v>0.3974483789775109</v>
      </c>
      <c r="L3731" t="b">
        <v>0</v>
      </c>
      <c r="M3731" t="b">
        <v>0</v>
      </c>
      <c r="N3731" t="inlineStr">
        <is>
          <t>ref</t>
        </is>
      </c>
      <c r="O3731" t="n">
        <v>-80</v>
      </c>
      <c r="P3731" t="n">
        <v>0.01242</v>
      </c>
      <c r="Q3731" t="n">
        <v>-90</v>
      </c>
      <c r="R3731" t="n">
        <v>0.0974</v>
      </c>
      <c r="S3731">
        <f>IMAGE("https://mitra.stanford.edu/kundaje/oak/projects/neuro-variants/variant_position/credible/roussos_2024/variant_figures/roussos_2024.infant.GLU/rs117773249_count_position.png",4,220,900)</f>
        <v/>
      </c>
      <c r="T3731">
        <f>IMAGE("https://mitra.stanford.edu/kundaje/oak/projects/neuro-variants/variant_position/credible/roussos_2024/variant_figures/roussos_2024.infant.GLU/rs117773249_profile_position.png",4,220,900)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0.076689883</v>
      </c>
      <c r="G3732" t="n">
        <v>0.0907474220572132</v>
      </c>
      <c r="H3732" t="n">
        <v>0.0199214835903414</v>
      </c>
      <c r="I3732" t="n">
        <v>0.1906939140897865</v>
      </c>
      <c r="J3732" t="n">
        <v>0.0119083313124186</v>
      </c>
      <c r="K3732" t="n">
        <v>0.6462053365505886</v>
      </c>
      <c r="L3732" t="b">
        <v>0</v>
      </c>
      <c r="M3732" t="b">
        <v>0</v>
      </c>
      <c r="N3732" t="inlineStr">
        <is>
          <t>alt</t>
        </is>
      </c>
      <c r="O3732" t="n">
        <v>-10</v>
      </c>
      <c r="P3732" t="n">
        <v>0.00891</v>
      </c>
      <c r="Q3732" t="n">
        <v>-60</v>
      </c>
      <c r="R3732" t="n">
        <v>0.11646</v>
      </c>
      <c r="S3732">
        <f>IMAGE("https://mitra.stanford.edu/kundaje/oak/projects/neuro-variants/variant_position/credible/roussos_2024/variant_figures/roussos_2024.infant.GLU/rs1858923_count_position.png",4,220,900)</f>
        <v/>
      </c>
      <c r="T3732">
        <f>IMAGE("https://mitra.stanford.edu/kundaje/oak/projects/neuro-variants/variant_position/credible/roussos_2024/variant_figures/roussos_2024.infant.GLU/rs1858923_profile_position.png",4,220,900)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0.1232929912</v>
      </c>
      <c r="G3733" t="n">
        <v>0.0315513615019688</v>
      </c>
      <c r="H3733" t="n">
        <v>0.0184781295759861</v>
      </c>
      <c r="I3733" t="n">
        <v>0.2265705110568728</v>
      </c>
      <c r="J3733" t="n">
        <v>0.235882625278335</v>
      </c>
      <c r="K3733" t="n">
        <v>0.0924985937401038</v>
      </c>
      <c r="L3733" t="b">
        <v>0</v>
      </c>
      <c r="M3733" t="b">
        <v>0</v>
      </c>
      <c r="N3733" t="inlineStr">
        <is>
          <t>alt</t>
        </is>
      </c>
      <c r="O3733" t="n">
        <v>100</v>
      </c>
      <c r="P3733" t="n">
        <v>0.002987</v>
      </c>
      <c r="Q3733" t="n">
        <v>100</v>
      </c>
      <c r="R3733" t="n">
        <v>0.278</v>
      </c>
      <c r="S3733">
        <f>IMAGE("https://mitra.stanford.edu/kundaje/oak/projects/neuro-variants/variant_position/credible/roussos_2024/variant_figures/roussos_2024.infant.GLU/rs28656907_count_position.png",4,220,900)</f>
        <v/>
      </c>
      <c r="T3733">
        <f>IMAGE("https://mitra.stanford.edu/kundaje/oak/projects/neuro-variants/variant_position/credible/roussos_2024/variant_figures/roussos_2024.infant.GLU/rs28656907_profile_position.png",4,220,900)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0.1863417779999999</v>
      </c>
      <c r="G3734" t="n">
        <v>0.0125253039727447</v>
      </c>
      <c r="H3734" t="n">
        <v>0.0439329531790357</v>
      </c>
      <c r="I3734" t="n">
        <v>0.0141830852932946</v>
      </c>
      <c r="J3734" t="n">
        <v>0.1469311492757776</v>
      </c>
      <c r="K3734" t="n">
        <v>0.1500273154352428</v>
      </c>
      <c r="L3734" t="b">
        <v>1</v>
      </c>
      <c r="M3734" t="b">
        <v>0</v>
      </c>
      <c r="N3734" t="inlineStr">
        <is>
          <t>alt</t>
        </is>
      </c>
      <c r="O3734" t="n">
        <v>25</v>
      </c>
      <c r="P3734" t="n">
        <v>0.00232</v>
      </c>
      <c r="Q3734" t="n">
        <v>5</v>
      </c>
      <c r="R3734" t="n">
        <v>0.01782</v>
      </c>
      <c r="S3734">
        <f>IMAGE("https://mitra.stanford.edu/kundaje/oak/projects/neuro-variants/variant_position/credible/roussos_2024/variant_figures/roussos_2024.infant.GLU/rs12704370_count_position.png",4,220,900)</f>
        <v/>
      </c>
      <c r="T3734">
        <f>IMAGE("https://mitra.stanford.edu/kundaje/oak/projects/neuro-variants/variant_position/credible/roussos_2024/variant_figures/roussos_2024.infant.GLU/rs12704370_profile_position.png",4,220,900)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-0.002627337904</v>
      </c>
      <c r="G3735" t="n">
        <v>0.7129072100371685</v>
      </c>
      <c r="H3735" t="n">
        <v>0.0343688651092776</v>
      </c>
      <c r="I3735" t="n">
        <v>0.0363184174987828</v>
      </c>
      <c r="J3735" t="n">
        <v>0.0134140964306972</v>
      </c>
      <c r="K3735" t="n">
        <v>0.6074975980982017</v>
      </c>
      <c r="L3735" t="b">
        <v>0</v>
      </c>
      <c r="M3735" t="b">
        <v>0</v>
      </c>
      <c r="N3735" t="inlineStr">
        <is>
          <t>ref</t>
        </is>
      </c>
      <c r="O3735" t="n">
        <v>85</v>
      </c>
      <c r="P3735" t="n">
        <v>0.2217</v>
      </c>
      <c r="Q3735" t="n">
        <v>95</v>
      </c>
      <c r="R3735" t="n">
        <v>0.155</v>
      </c>
      <c r="S3735">
        <f>IMAGE("https://mitra.stanford.edu/kundaje/oak/projects/neuro-variants/variant_position/credible/roussos_2024/variant_figures/roussos_2024.infant.GLU/rs77491588_count_position.png",4,220,900)</f>
        <v/>
      </c>
      <c r="T3735">
        <f>IMAGE("https://mitra.stanford.edu/kundaje/oak/projects/neuro-variants/variant_position/credible/roussos_2024/variant_figures/roussos_2024.infant.GLU/rs77491588_profile_position.png",4,220,900)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0.06600502799999999</v>
      </c>
      <c r="G3736" t="n">
        <v>0.1065377146299015</v>
      </c>
      <c r="H3736" t="n">
        <v>0.0414635638941059</v>
      </c>
      <c r="I3736" t="n">
        <v>0.0173550559300195</v>
      </c>
      <c r="J3736" t="n">
        <v>0.0020414912145329</v>
      </c>
      <c r="K3736" t="n">
        <v>0.851537950457385</v>
      </c>
      <c r="L3736" t="b">
        <v>0</v>
      </c>
      <c r="M3736" t="b">
        <v>0</v>
      </c>
      <c r="N3736" t="inlineStr">
        <is>
          <t>alt</t>
        </is>
      </c>
      <c r="O3736" t="n">
        <v>100</v>
      </c>
      <c r="P3736" t="n">
        <v>0.00395</v>
      </c>
      <c r="Q3736" t="n">
        <v>-75</v>
      </c>
      <c r="R3736" t="n">
        <v>0.07367</v>
      </c>
      <c r="S3736">
        <f>IMAGE("https://mitra.stanford.edu/kundaje/oak/projects/neuro-variants/variant_position/credible/roussos_2024/variant_figures/roussos_2024.infant.GLU/rs79065506_count_position.png",4,220,900)</f>
        <v/>
      </c>
      <c r="T3736">
        <f>IMAGE("https://mitra.stanford.edu/kundaje/oak/projects/neuro-variants/variant_position/credible/roussos_2024/variant_figures/roussos_2024.infant.GLU/rs79065506_profile_position.png",4,220,900)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0.0495303508</v>
      </c>
      <c r="G3737" t="n">
        <v>0.16849689729599</v>
      </c>
      <c r="H3737" t="n">
        <v>0.0440617663252874</v>
      </c>
      <c r="I3737" t="n">
        <v>0.0134678637036669</v>
      </c>
      <c r="J3737" t="n">
        <v>0.0017637073127713</v>
      </c>
      <c r="K3737" t="n">
        <v>0.8612541347350559</v>
      </c>
      <c r="L3737" t="b">
        <v>0</v>
      </c>
      <c r="M3737" t="b">
        <v>0</v>
      </c>
      <c r="N3737" t="inlineStr">
        <is>
          <t>alt</t>
        </is>
      </c>
      <c r="O3737" t="n">
        <v>100</v>
      </c>
      <c r="P3737" t="n">
        <v>0.006435</v>
      </c>
      <c r="Q3737" t="n">
        <v>-80</v>
      </c>
      <c r="R3737" t="n">
        <v>0.0871</v>
      </c>
      <c r="S3737">
        <f>IMAGE("https://mitra.stanford.edu/kundaje/oak/projects/neuro-variants/variant_position/credible/roussos_2024/variant_figures/roussos_2024.infant.GLU/rs78742611_count_position.png",4,220,900)</f>
        <v/>
      </c>
      <c r="T3737">
        <f>IMAGE("https://mitra.stanford.edu/kundaje/oak/projects/neuro-variants/variant_position/credible/roussos_2024/variant_figures/roussos_2024.infant.GLU/rs78742611_profile_position.png",4,220,900)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0.0715026208</v>
      </c>
      <c r="G3738" t="n">
        <v>0.0907084450258322</v>
      </c>
      <c r="H3738" t="n">
        <v>0.0645986668219921</v>
      </c>
      <c r="I3738" t="n">
        <v>0.0021593376746743</v>
      </c>
      <c r="J3738" t="n">
        <v>0.0672336250799179</v>
      </c>
      <c r="K3738" t="n">
        <v>0.2798667572627519</v>
      </c>
      <c r="L3738" t="b">
        <v>1</v>
      </c>
      <c r="M3738" t="b">
        <v>1</v>
      </c>
      <c r="N3738" t="inlineStr">
        <is>
          <t>alt</t>
        </is>
      </c>
      <c r="O3738" t="n">
        <v>-10</v>
      </c>
      <c r="P3738" t="n">
        <v>0.0002441</v>
      </c>
      <c r="Q3738" t="n">
        <v>-50</v>
      </c>
      <c r="R3738" t="n">
        <v>0.00415</v>
      </c>
      <c r="S3738">
        <f>IMAGE("https://mitra.stanford.edu/kundaje/oak/projects/neuro-variants/variant_position/credible/roussos_2024/variant_figures/roussos_2024.infant.GLU/rs6979891_count_position.png",4,220,900)</f>
        <v/>
      </c>
      <c r="T3738">
        <f>IMAGE("https://mitra.stanford.edu/kundaje/oak/projects/neuro-variants/variant_position/credible/roussos_2024/variant_figures/roussos_2024.infant.GLU/rs6979891_profile_position.png",4,220,900)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0.06412683529999989</v>
      </c>
      <c r="G3739" t="n">
        <v>0.1335242010559634</v>
      </c>
      <c r="H3739" t="n">
        <v>0.0336529599261118</v>
      </c>
      <c r="I3739" t="n">
        <v>0.0389682694340275</v>
      </c>
      <c r="J3739" t="n">
        <v>0.0605403558279502</v>
      </c>
      <c r="K3739" t="n">
        <v>0.3023287854907929</v>
      </c>
      <c r="L3739" t="b">
        <v>0</v>
      </c>
      <c r="M3739" t="b">
        <v>0</v>
      </c>
      <c r="N3739" t="inlineStr">
        <is>
          <t>alt</t>
        </is>
      </c>
      <c r="O3739" t="n">
        <v>90</v>
      </c>
      <c r="P3739" t="n">
        <v>0.006348</v>
      </c>
      <c r="Q3739" t="n">
        <v>95</v>
      </c>
      <c r="R3739" t="n">
        <v>0.05176</v>
      </c>
      <c r="S3739">
        <f>IMAGE("https://mitra.stanford.edu/kundaje/oak/projects/neuro-variants/variant_position/credible/roussos_2024/variant_figures/roussos_2024.infant.GLU/rs883176_count_position.png",4,220,900)</f>
        <v/>
      </c>
      <c r="T3739">
        <f>IMAGE("https://mitra.stanford.edu/kundaje/oak/projects/neuro-variants/variant_position/credible/roussos_2024/variant_figures/roussos_2024.infant.GLU/rs883176_profile_position.png",4,220,900)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-0.0389946922</v>
      </c>
      <c r="G3740" t="n">
        <v>0.2319429953882071</v>
      </c>
      <c r="H3740" t="n">
        <v>0.048954229382871</v>
      </c>
      <c r="I3740" t="n">
        <v>0.008484929562220999</v>
      </c>
      <c r="J3740" t="n">
        <v>0.008743579003064401</v>
      </c>
      <c r="K3740" t="n">
        <v>0.6994506740899279</v>
      </c>
      <c r="L3740" t="b">
        <v>0</v>
      </c>
      <c r="M3740" t="b">
        <v>0</v>
      </c>
      <c r="N3740" t="inlineStr">
        <is>
          <t>ref</t>
        </is>
      </c>
      <c r="O3740" t="n">
        <v>35</v>
      </c>
      <c r="P3740" t="n">
        <v>0.00653</v>
      </c>
      <c r="Q3740" t="n">
        <v>5</v>
      </c>
      <c r="R3740" t="n">
        <v>0.005493</v>
      </c>
      <c r="S3740">
        <f>IMAGE("https://mitra.stanford.edu/kundaje/oak/projects/neuro-variants/variant_position/credible/roussos_2024/variant_figures/roussos_2024.infant.GLU/rs17166402_count_position.png",4,220,900)</f>
        <v/>
      </c>
      <c r="T3740">
        <f>IMAGE("https://mitra.stanford.edu/kundaje/oak/projects/neuro-variants/variant_position/credible/roussos_2024/variant_figures/roussos_2024.infant.GLU/rs17166402_profile_position.png",4,220,900)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0.0496044102</v>
      </c>
      <c r="G3741" t="n">
        <v>0.1686432340435248</v>
      </c>
      <c r="H3741" t="n">
        <v>0.0330559089985558</v>
      </c>
      <c r="I3741" t="n">
        <v>0.0414165324373441</v>
      </c>
      <c r="J3741" t="n">
        <v>0.0112094622897329</v>
      </c>
      <c r="K3741" t="n">
        <v>0.658606273611938</v>
      </c>
      <c r="L3741" t="b">
        <v>0</v>
      </c>
      <c r="M3741" t="b">
        <v>0</v>
      </c>
      <c r="N3741" t="inlineStr">
        <is>
          <t>alt</t>
        </is>
      </c>
      <c r="O3741" t="n">
        <v>0</v>
      </c>
      <c r="P3741" t="n">
        <v>0</v>
      </c>
      <c r="Q3741" t="n">
        <v>-20</v>
      </c>
      <c r="R3741" t="n">
        <v>0.04065</v>
      </c>
      <c r="S3741">
        <f>IMAGE("https://mitra.stanford.edu/kundaje/oak/projects/neuro-variants/variant_position/credible/roussos_2024/variant_figures/roussos_2024.infant.GLU/rs17166404_count_position.png",4,220,900)</f>
        <v/>
      </c>
      <c r="T3741">
        <f>IMAGE("https://mitra.stanford.edu/kundaje/oak/projects/neuro-variants/variant_position/credible/roussos_2024/variant_figures/roussos_2024.infant.GLU/rs17166404_profile_position.png",4,220,900)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0.0184983465</v>
      </c>
      <c r="G3742" t="n">
        <v>0.4340340211520492</v>
      </c>
      <c r="H3742" t="n">
        <v>0.0169928202427676</v>
      </c>
      <c r="I3742" t="n">
        <v>0.2713020392649329</v>
      </c>
      <c r="J3742" t="n">
        <v>0.0190061509292532</v>
      </c>
      <c r="K3742" t="n">
        <v>0.5559742481992009</v>
      </c>
      <c r="L3742" t="b">
        <v>0</v>
      </c>
      <c r="M3742" t="b">
        <v>0</v>
      </c>
      <c r="N3742" t="inlineStr">
        <is>
          <t>alt</t>
        </is>
      </c>
      <c r="O3742" t="n">
        <v>75</v>
      </c>
      <c r="P3742" t="n">
        <v>0.006325</v>
      </c>
      <c r="Q3742" t="n">
        <v>-20</v>
      </c>
      <c r="R3742" t="n">
        <v>0.02063</v>
      </c>
      <c r="S3742">
        <f>IMAGE("https://mitra.stanford.edu/kundaje/oak/projects/neuro-variants/variant_position/credible/roussos_2024/variant_figures/roussos_2024.infant.GLU/rs17166406_count_position.png",4,220,900)</f>
        <v/>
      </c>
      <c r="T3742">
        <f>IMAGE("https://mitra.stanford.edu/kundaje/oak/projects/neuro-variants/variant_position/credible/roussos_2024/variant_figures/roussos_2024.infant.GLU/rs17166406_profile_position.png",4,220,900)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0.0270448887799999</v>
      </c>
      <c r="G3743" t="n">
        <v>0.2898636141352488</v>
      </c>
      <c r="H3743" t="n">
        <v>0.0194308916634742</v>
      </c>
      <c r="I3743" t="n">
        <v>0.1991695482526837</v>
      </c>
      <c r="J3743" t="n">
        <v>0.0205736458034788</v>
      </c>
      <c r="K3743" t="n">
        <v>0.5348859258802308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0.09265</v>
      </c>
      <c r="Q3743" t="n">
        <v>30</v>
      </c>
      <c r="R3743" t="n">
        <v>0.11743</v>
      </c>
      <c r="S3743">
        <f>IMAGE("https://mitra.stanford.edu/kundaje/oak/projects/neuro-variants/variant_position/credible/roussos_2024/variant_figures/roussos_2024.infant.GLU/rs13241095_count_position.png",4,220,900)</f>
        <v/>
      </c>
      <c r="T3743">
        <f>IMAGE("https://mitra.stanford.edu/kundaje/oak/projects/neuro-variants/variant_position/credible/roussos_2024/variant_figures/roussos_2024.infant.GLU/rs13241095_profile_position.png",4,220,900)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-0.00907006124</v>
      </c>
      <c r="G3744" t="n">
        <v>0.5970285151971354</v>
      </c>
      <c r="H3744" t="n">
        <v>0.0254101496534053</v>
      </c>
      <c r="I3744" t="n">
        <v>0.0956391576208554</v>
      </c>
      <c r="J3744" t="n">
        <v>0.018768050442029</v>
      </c>
      <c r="K3744" t="n">
        <v>0.5540795728562855</v>
      </c>
      <c r="L3744" t="b">
        <v>0</v>
      </c>
      <c r="M3744" t="b">
        <v>0</v>
      </c>
      <c r="N3744" t="inlineStr">
        <is>
          <t>ref</t>
        </is>
      </c>
      <c r="O3744" t="n">
        <v>-100</v>
      </c>
      <c r="P3744" t="n">
        <v>0.10767</v>
      </c>
      <c r="Q3744" t="n">
        <v>-100</v>
      </c>
      <c r="R3744" t="n">
        <v>0.10693</v>
      </c>
      <c r="S3744">
        <f>IMAGE("https://mitra.stanford.edu/kundaje/oak/projects/neuro-variants/variant_position/credible/roussos_2024/variant_figures/roussos_2024.infant.GLU/rs13241489_count_position.png",4,220,900)</f>
        <v/>
      </c>
      <c r="T3744">
        <f>IMAGE("https://mitra.stanford.edu/kundaje/oak/projects/neuro-variants/variant_position/credible/roussos_2024/variant_figures/roussos_2024.infant.GLU/rs13241489_profile_position.png",4,220,900)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-0.0989189464</v>
      </c>
      <c r="G3745" t="n">
        <v>0.0552180449800755</v>
      </c>
      <c r="H3745" t="n">
        <v>0.0386837558311101</v>
      </c>
      <c r="I3745" t="n">
        <v>0.0234393366829088</v>
      </c>
      <c r="J3745" t="n">
        <v>0.0734407725038029</v>
      </c>
      <c r="K3745" t="n">
        <v>0.2645430462003823</v>
      </c>
      <c r="L3745" t="b">
        <v>0</v>
      </c>
      <c r="M3745" t="b">
        <v>0</v>
      </c>
      <c r="N3745" t="inlineStr">
        <is>
          <t>ref</t>
        </is>
      </c>
      <c r="O3745" t="n">
        <v>-85</v>
      </c>
      <c r="P3745" t="n">
        <v>0.007187</v>
      </c>
      <c r="Q3745" t="n">
        <v>70</v>
      </c>
      <c r="R3745" t="n">
        <v>0.03693</v>
      </c>
      <c r="S3745">
        <f>IMAGE("https://mitra.stanford.edu/kundaje/oak/projects/neuro-variants/variant_position/credible/roussos_2024/variant_figures/roussos_2024.infant.GLU/rs13307062_count_position.png",4,220,900)</f>
        <v/>
      </c>
      <c r="T3745">
        <f>IMAGE("https://mitra.stanford.edu/kundaje/oak/projects/neuro-variants/variant_position/credible/roussos_2024/variant_figures/roussos_2024.infant.GLU/rs13307062_profile_position.png",4,220,900)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0.0296980519999999</v>
      </c>
      <c r="G3746" t="n">
        <v>0.3144187679804033</v>
      </c>
      <c r="H3746" t="n">
        <v>0.0102926426032218</v>
      </c>
      <c r="I3746" t="n">
        <v>0.6999249457025447</v>
      </c>
      <c r="J3746" t="n">
        <v>0.0155514892303621</v>
      </c>
      <c r="K3746" t="n">
        <v>0.5829217299342194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0.0249</v>
      </c>
      <c r="Q3746" t="n">
        <v>-85</v>
      </c>
      <c r="R3746" t="n">
        <v>0.0963</v>
      </c>
      <c r="S3746">
        <f>IMAGE("https://mitra.stanford.edu/kundaje/oak/projects/neuro-variants/variant_position/credible/roussos_2024/variant_figures/roussos_2024.infant.GLU/rs34376444_count_position.png",4,220,900)</f>
        <v/>
      </c>
      <c r="T3746">
        <f>IMAGE("https://mitra.stanford.edu/kundaje/oak/projects/neuro-variants/variant_position/credible/roussos_2024/variant_figures/roussos_2024.infant.GLU/rs34376444_profile_position.png",4,220,900)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-0.008479453051999999</v>
      </c>
      <c r="G3747" t="n">
        <v>0.564049337816089</v>
      </c>
      <c r="H3747" t="n">
        <v>0.0093622251698477</v>
      </c>
      <c r="I3747" t="n">
        <v>0.7867340773144562</v>
      </c>
      <c r="J3747" t="n">
        <v>0.064327917282127</v>
      </c>
      <c r="K3747" t="n">
        <v>0.2904707650084441</v>
      </c>
      <c r="L3747" t="b">
        <v>0</v>
      </c>
      <c r="M3747" t="b">
        <v>0</v>
      </c>
      <c r="N3747" t="inlineStr">
        <is>
          <t>ref</t>
        </is>
      </c>
      <c r="O3747" t="n">
        <v>-65</v>
      </c>
      <c r="P3747" t="n">
        <v>0.01374</v>
      </c>
      <c r="Q3747" t="n">
        <v>-90</v>
      </c>
      <c r="R3747" t="n">
        <v>0.09923999999999999</v>
      </c>
      <c r="S3747">
        <f>IMAGE("https://mitra.stanford.edu/kundaje/oak/projects/neuro-variants/variant_position/credible/roussos_2024/variant_figures/roussos_2024.infant.GLU/rs34578239_count_position.png",4,220,900)</f>
        <v/>
      </c>
      <c r="T3747">
        <f>IMAGE("https://mitra.stanford.edu/kundaje/oak/projects/neuro-variants/variant_position/credible/roussos_2024/variant_figures/roussos_2024.infant.GLU/rs34578239_profile_position.png",4,220,900)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0.0275714616</v>
      </c>
      <c r="G3748" t="n">
        <v>0.3363674840526391</v>
      </c>
      <c r="H3748" t="n">
        <v>0.0091621191457567</v>
      </c>
      <c r="I3748" t="n">
        <v>0.7994848155152335</v>
      </c>
      <c r="J3748" t="n">
        <v>0.2155977865473224</v>
      </c>
      <c r="K3748" t="n">
        <v>0.1007883999437649</v>
      </c>
      <c r="L3748" t="b">
        <v>0</v>
      </c>
      <c r="M3748" t="b">
        <v>0</v>
      </c>
      <c r="N3748" t="inlineStr">
        <is>
          <t>alt</t>
        </is>
      </c>
      <c r="O3748" t="n">
        <v>-85</v>
      </c>
      <c r="P3748" t="n">
        <v>0.03702</v>
      </c>
      <c r="Q3748" t="n">
        <v>-100</v>
      </c>
      <c r="R3748" t="n">
        <v>0.1743</v>
      </c>
      <c r="S3748">
        <f>IMAGE("https://mitra.stanford.edu/kundaje/oak/projects/neuro-variants/variant_position/credible/roussos_2024/variant_figures/roussos_2024.infant.GLU/rs221786_count_position.png",4,220,900)</f>
        <v/>
      </c>
      <c r="T3748">
        <f>IMAGE("https://mitra.stanford.edu/kundaje/oak/projects/neuro-variants/variant_position/credible/roussos_2024/variant_figures/roussos_2024.infant.GLU/rs221786_profile_position.png",4,220,900)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0.1075816218</v>
      </c>
      <c r="G3749" t="n">
        <v>0.042196683192243</v>
      </c>
      <c r="H3749" t="n">
        <v>0.0160426700151942</v>
      </c>
      <c r="I3749" t="n">
        <v>0.3144321295863004</v>
      </c>
      <c r="J3749" t="n">
        <v>0.4811051830948654</v>
      </c>
      <c r="K3749" t="n">
        <v>0.0329699058243054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0.03906</v>
      </c>
      <c r="Q3749" t="n">
        <v>-95</v>
      </c>
      <c r="R3749" t="n">
        <v>0.00928</v>
      </c>
      <c r="S3749">
        <f>IMAGE("https://mitra.stanford.edu/kundaje/oak/projects/neuro-variants/variant_position/credible/roussos_2024/variant_figures/roussos_2024.infant.GLU/rs221792_count_position.png",4,220,900)</f>
        <v/>
      </c>
      <c r="T3749">
        <f>IMAGE("https://mitra.stanford.edu/kundaje/oak/projects/neuro-variants/variant_position/credible/roussos_2024/variant_figures/roussos_2024.infant.GLU/rs221792_profile_position.png",4,220,900)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0.0526027363999999</v>
      </c>
      <c r="G3750" t="n">
        <v>0.1650666710032179</v>
      </c>
      <c r="H3750" t="n">
        <v>0.0104840139402303</v>
      </c>
      <c r="I3750" t="n">
        <v>0.6785849776812389</v>
      </c>
      <c r="J3750" t="n">
        <v>0.0175224321523842</v>
      </c>
      <c r="K3750" t="n">
        <v>0.5709279766237726</v>
      </c>
      <c r="L3750" t="b">
        <v>0</v>
      </c>
      <c r="M3750" t="b">
        <v>0</v>
      </c>
      <c r="N3750" t="inlineStr">
        <is>
          <t>alt</t>
        </is>
      </c>
      <c r="O3750" t="n">
        <v>50</v>
      </c>
      <c r="P3750" t="n">
        <v>0.00255</v>
      </c>
      <c r="Q3750" t="n">
        <v>70</v>
      </c>
      <c r="R3750" t="n">
        <v>0.02435</v>
      </c>
      <c r="S3750">
        <f>IMAGE("https://mitra.stanford.edu/kundaje/oak/projects/neuro-variants/variant_position/credible/roussos_2024/variant_figures/roussos_2024.infant.GLU/rs314370_count_position.png",4,220,900)</f>
        <v/>
      </c>
      <c r="T3750">
        <f>IMAGE("https://mitra.stanford.edu/kundaje/oak/projects/neuro-variants/variant_position/credible/roussos_2024/variant_figures/roussos_2024.infant.GLU/rs314370_profile_position.png",4,220,900)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-0.02476837816</v>
      </c>
      <c r="G3751" t="n">
        <v>0.4070922033751465</v>
      </c>
      <c r="H3751" t="n">
        <v>0.0120647310828769</v>
      </c>
      <c r="I3751" t="n">
        <v>0.5482506991765802</v>
      </c>
      <c r="J3751" t="n">
        <v>0.1180537489803566</v>
      </c>
      <c r="K3751" t="n">
        <v>0.1816830322328552</v>
      </c>
      <c r="L3751" t="b">
        <v>0</v>
      </c>
      <c r="M3751" t="b">
        <v>0</v>
      </c>
      <c r="N3751" t="inlineStr">
        <is>
          <t>ref</t>
        </is>
      </c>
      <c r="O3751" t="n">
        <v>-65</v>
      </c>
      <c r="P3751" t="n">
        <v>0.01457</v>
      </c>
      <c r="Q3751" t="n">
        <v>95</v>
      </c>
      <c r="R3751" t="n">
        <v>0.04132</v>
      </c>
      <c r="S3751">
        <f>IMAGE("https://mitra.stanford.edu/kundaje/oak/projects/neuro-variants/variant_position/credible/roussos_2024/variant_figures/roussos_2024.infant.GLU/rs12705090_count_position.png",4,220,900)</f>
        <v/>
      </c>
      <c r="T3751">
        <f>IMAGE("https://mitra.stanford.edu/kundaje/oak/projects/neuro-variants/variant_position/credible/roussos_2024/variant_figures/roussos_2024.infant.GLU/rs12705090_profile_position.png",4,220,900)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0.0440267698</v>
      </c>
      <c r="G3752" t="n">
        <v>0.1936490917237335</v>
      </c>
      <c r="H3752" t="n">
        <v>0.0099834204336586</v>
      </c>
      <c r="I3752" t="n">
        <v>0.745541496383904</v>
      </c>
      <c r="J3752" t="n">
        <v>0.0692034656848695</v>
      </c>
      <c r="K3752" t="n">
        <v>0.2797166484842261</v>
      </c>
      <c r="L3752" t="b">
        <v>0</v>
      </c>
      <c r="M3752" t="b">
        <v>0</v>
      </c>
      <c r="N3752" t="inlineStr">
        <is>
          <t>alt</t>
        </is>
      </c>
      <c r="O3752" t="n">
        <v>-90</v>
      </c>
      <c r="P3752" t="n">
        <v>0.02061</v>
      </c>
      <c r="Q3752" t="n">
        <v>95</v>
      </c>
      <c r="R3752" t="n">
        <v>0.09279999999999999</v>
      </c>
      <c r="S3752">
        <f>IMAGE("https://mitra.stanford.edu/kundaje/oak/projects/neuro-variants/variant_position/credible/roussos_2024/variant_figures/roussos_2024.infant.GLU/rs12667888_count_position.png",4,220,900)</f>
        <v/>
      </c>
      <c r="T3752">
        <f>IMAGE("https://mitra.stanford.edu/kundaje/oak/projects/neuro-variants/variant_position/credible/roussos_2024/variant_figures/roussos_2024.infant.GLU/rs12667888_profile_position.png",4,220,900)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-0.0091096797</v>
      </c>
      <c r="G3753" t="n">
        <v>0.56515756029308</v>
      </c>
      <c r="H3753" t="n">
        <v>0.0478103329292751</v>
      </c>
      <c r="I3753" t="n">
        <v>0.009336863508784999</v>
      </c>
      <c r="J3753" t="n">
        <v>0.4068960955929362</v>
      </c>
      <c r="K3753" t="n">
        <v>0.0442417488495298</v>
      </c>
      <c r="L3753" t="b">
        <v>1</v>
      </c>
      <c r="M3753" t="b">
        <v>1</v>
      </c>
      <c r="N3753" t="inlineStr">
        <is>
          <t>ref</t>
        </is>
      </c>
      <c r="O3753" t="n">
        <v>-100</v>
      </c>
      <c r="P3753" t="n">
        <v>0.03888</v>
      </c>
      <c r="Q3753" t="n">
        <v>-40</v>
      </c>
      <c r="R3753" t="n">
        <v>0.01587</v>
      </c>
      <c r="S3753">
        <f>IMAGE("https://mitra.stanford.edu/kundaje/oak/projects/neuro-variants/variant_position/credible/roussos_2024/variant_figures/roussos_2024.infant.GLU/rs12705093_count_position.png",4,220,900)</f>
        <v/>
      </c>
      <c r="T3753">
        <f>IMAGE("https://mitra.stanford.edu/kundaje/oak/projects/neuro-variants/variant_position/credible/roussos_2024/variant_figures/roussos_2024.infant.GLU/rs12705093_profile_position.png",4,220,900)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-0.0854715654</v>
      </c>
      <c r="G3754" t="n">
        <v>0.07172328834981551</v>
      </c>
      <c r="H3754" t="n">
        <v>0.0259961990246458</v>
      </c>
      <c r="I3754" t="n">
        <v>0.09104173333045421</v>
      </c>
      <c r="J3754" t="n">
        <v>0.8720198857999517</v>
      </c>
      <c r="K3754" t="n">
        <v>0.0046005139006593</v>
      </c>
      <c r="L3754" t="b">
        <v>0</v>
      </c>
      <c r="M3754" t="b">
        <v>0</v>
      </c>
      <c r="N3754" t="inlineStr">
        <is>
          <t>ref</t>
        </is>
      </c>
      <c r="O3754" t="n">
        <v>-80</v>
      </c>
      <c r="P3754" t="n">
        <v>0.02023</v>
      </c>
      <c r="Q3754" t="n">
        <v>-35</v>
      </c>
      <c r="R3754" t="n">
        <v>0.0757</v>
      </c>
      <c r="S3754">
        <f>IMAGE("https://mitra.stanford.edu/kundaje/oak/projects/neuro-variants/variant_position/credible/roussos_2024/variant_figures/roussos_2024.infant.GLU/rs17884589_count_position.png",4,220,900)</f>
        <v/>
      </c>
      <c r="T3754">
        <f>IMAGE("https://mitra.stanford.edu/kundaje/oak/projects/neuro-variants/variant_position/credible/roussos_2024/variant_figures/roussos_2024.infant.GLU/rs17884589_profile_position.png",4,220,900)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-0.00907077938</v>
      </c>
      <c r="G3755" t="n">
        <v>0.6665152398769731</v>
      </c>
      <c r="H3755" t="n">
        <v>0.016070940942714</v>
      </c>
      <c r="I3755" t="n">
        <v>0.3125113829135954</v>
      </c>
      <c r="J3755" t="n">
        <v>0.8600718710729953</v>
      </c>
      <c r="K3755" t="n">
        <v>0.0051767929644908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0.0337</v>
      </c>
      <c r="Q3755" t="n">
        <v>-60</v>
      </c>
      <c r="R3755" t="n">
        <v>0.05872</v>
      </c>
      <c r="S3755">
        <f>IMAGE("https://mitra.stanford.edu/kundaje/oak/projects/neuro-variants/variant_position/credible/roussos_2024/variant_figures/roussos_2024.infant.GLU/rs17883557_count_position.png",4,220,900)</f>
        <v/>
      </c>
      <c r="T3755">
        <f>IMAGE("https://mitra.stanford.edu/kundaje/oak/projects/neuro-variants/variant_position/credible/roussos_2024/variant_figures/roussos_2024.infant.GLU/rs17883557_profile_position.png",4,220,900)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0.239855182</v>
      </c>
      <c r="G3756" t="n">
        <v>0.0061500239281685</v>
      </c>
      <c r="H3756" t="n">
        <v>0.0243306971584817</v>
      </c>
      <c r="I3756" t="n">
        <v>0.1106109377886762</v>
      </c>
      <c r="J3756" t="n">
        <v>0.0379329350294318</v>
      </c>
      <c r="K3756" t="n">
        <v>0.3984960344948899</v>
      </c>
      <c r="L3756" t="b">
        <v>1</v>
      </c>
      <c r="M3756" t="b">
        <v>1</v>
      </c>
      <c r="N3756" t="inlineStr">
        <is>
          <t>alt</t>
        </is>
      </c>
      <c r="O3756" t="n">
        <v>80</v>
      </c>
      <c r="P3756" t="n">
        <v>0.2107</v>
      </c>
      <c r="Q3756" t="n">
        <v>55</v>
      </c>
      <c r="R3756" t="n">
        <v>0.07920000000000001</v>
      </c>
      <c r="S3756">
        <f>IMAGE("https://mitra.stanford.edu/kundaje/oak/projects/neuro-variants/variant_position/credible/roussos_2024/variant_figures/roussos_2024.infant.GLU/rs10278546_count_position.png",4,220,900)</f>
        <v/>
      </c>
      <c r="T3756">
        <f>IMAGE("https://mitra.stanford.edu/kundaje/oak/projects/neuro-variants/variant_position/credible/roussos_2024/variant_figures/roussos_2024.infant.GLU/rs10278546_profile_position.png",4,220,900)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-0.064804844</v>
      </c>
      <c r="G3757" t="n">
        <v>0.1106677984569176</v>
      </c>
      <c r="H3757" t="n">
        <v>0.06981614928868909</v>
      </c>
      <c r="I3757" t="n">
        <v>0.0013825238990727</v>
      </c>
      <c r="J3757" t="n">
        <v>0.0168070283736413</v>
      </c>
      <c r="K3757" t="n">
        <v>0.5648383151446463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0.03094</v>
      </c>
      <c r="Q3757" t="n">
        <v>70</v>
      </c>
      <c r="R3757" t="n">
        <v>0.08966</v>
      </c>
      <c r="S3757">
        <f>IMAGE("https://mitra.stanford.edu/kundaje/oak/projects/neuro-variants/variant_position/credible/roussos_2024/variant_figures/roussos_2024.infant.GLU/rs2252074_count_position.png",4,220,900)</f>
        <v/>
      </c>
      <c r="T3757">
        <f>IMAGE("https://mitra.stanford.edu/kundaje/oak/projects/neuro-variants/variant_position/credible/roussos_2024/variant_figures/roussos_2024.infant.GLU/rs2252074_profile_position.png",4,220,900)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0.002898972954</v>
      </c>
      <c r="G3758" t="n">
        <v>0.713150014110463</v>
      </c>
      <c r="H3758" t="n">
        <v>0.0346440633806224</v>
      </c>
      <c r="I3758" t="n">
        <v>0.0351883210883904</v>
      </c>
      <c r="J3758" t="n">
        <v>0.008223285345796799</v>
      </c>
      <c r="K3758" t="n">
        <v>0.6947132368214848</v>
      </c>
      <c r="L3758" t="b">
        <v>0</v>
      </c>
      <c r="M3758" t="b">
        <v>0</v>
      </c>
      <c r="N3758" t="inlineStr">
        <is>
          <t>alt</t>
        </is>
      </c>
      <c r="O3758" t="n">
        <v>-45</v>
      </c>
      <c r="P3758" t="n">
        <v>0.0188</v>
      </c>
      <c r="Q3758" t="n">
        <v>-30</v>
      </c>
      <c r="R3758" t="n">
        <v>0.06775</v>
      </c>
      <c r="S3758">
        <f>IMAGE("https://mitra.stanford.edu/kundaje/oak/projects/neuro-variants/variant_position/credible/roussos_2024/variant_figures/roussos_2024.infant.GLU/rs4727614_count_position.png",4,220,900)</f>
        <v/>
      </c>
      <c r="T3758">
        <f>IMAGE("https://mitra.stanford.edu/kundaje/oak/projects/neuro-variants/variant_position/credible/roussos_2024/variant_figures/roussos_2024.infant.GLU/rs4727614_profile_position.png",4,220,900)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-0.00459038904</v>
      </c>
      <c r="G3759" t="n">
        <v>0.8131156786981441</v>
      </c>
      <c r="H3759" t="n">
        <v>0.009031967363776599</v>
      </c>
      <c r="I3759" t="n">
        <v>0.8219180183781838</v>
      </c>
      <c r="J3759" t="n">
        <v>0.0369287241782225</v>
      </c>
      <c r="K3759" t="n">
        <v>0.4038373966698795</v>
      </c>
      <c r="L3759" t="b">
        <v>0</v>
      </c>
      <c r="M3759" t="b">
        <v>0</v>
      </c>
      <c r="N3759" t="inlineStr">
        <is>
          <t>ref</t>
        </is>
      </c>
      <c r="O3759" t="n">
        <v>0</v>
      </c>
      <c r="P3759" t="n">
        <v>0</v>
      </c>
      <c r="Q3759" t="n">
        <v>50</v>
      </c>
      <c r="R3759" t="n">
        <v>0.0589</v>
      </c>
      <c r="S3759">
        <f>IMAGE("https://mitra.stanford.edu/kundaje/oak/projects/neuro-variants/variant_position/credible/roussos_2024/variant_figures/roussos_2024.infant.GLU/rs7776707_count_position.png",4,220,900)</f>
        <v/>
      </c>
      <c r="T3759">
        <f>IMAGE("https://mitra.stanford.edu/kundaje/oak/projects/neuro-variants/variant_position/credible/roussos_2024/variant_figures/roussos_2024.infant.GLU/rs7776707_profile_position.png",4,220,900)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0.0177313702</v>
      </c>
      <c r="G3760" t="n">
        <v>0.4747518341919338</v>
      </c>
      <c r="H3760" t="n">
        <v>0.0149577021258096</v>
      </c>
      <c r="I3760" t="n">
        <v>0.3652693121202953</v>
      </c>
      <c r="J3760" t="n">
        <v>0.8687581295883948</v>
      </c>
      <c r="K3760" t="n">
        <v>0.0046871404589685</v>
      </c>
      <c r="L3760" t="b">
        <v>0</v>
      </c>
      <c r="M3760" t="b">
        <v>0</v>
      </c>
      <c r="N3760" t="inlineStr">
        <is>
          <t>alt</t>
        </is>
      </c>
      <c r="O3760" t="n">
        <v>-100</v>
      </c>
      <c r="P3760" t="n">
        <v>0.0423</v>
      </c>
      <c r="Q3760" t="n">
        <v>-100</v>
      </c>
      <c r="R3760" t="n">
        <v>0.417</v>
      </c>
      <c r="S3760">
        <f>IMAGE("https://mitra.stanford.edu/kundaje/oak/projects/neuro-variants/variant_position/credible/roussos_2024/variant_figures/roussos_2024.infant.GLU/rs3823752_count_position.png",4,220,900)</f>
        <v/>
      </c>
      <c r="T3760">
        <f>IMAGE("https://mitra.stanford.edu/kundaje/oak/projects/neuro-variants/variant_position/credible/roussos_2024/variant_figures/roussos_2024.infant.GLU/rs3823752_profile_position.png",4,220,900)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0.0022069857999999</v>
      </c>
      <c r="G3761" t="n">
        <v>0.4473806802051933</v>
      </c>
      <c r="H3761" t="n">
        <v>0.0135084280194897</v>
      </c>
      <c r="I3761" t="n">
        <v>0.4518393786513766</v>
      </c>
      <c r="J3761" t="n">
        <v>0.0217476134835423</v>
      </c>
      <c r="K3761" t="n">
        <v>0.5186419775714155</v>
      </c>
      <c r="L3761" t="b">
        <v>0</v>
      </c>
      <c r="M3761" t="b">
        <v>0</v>
      </c>
      <c r="N3761" t="inlineStr">
        <is>
          <t>alt</t>
        </is>
      </c>
      <c r="O3761" t="n">
        <v>90</v>
      </c>
      <c r="P3761" t="n">
        <v>0.004517</v>
      </c>
      <c r="Q3761" t="n">
        <v>-40</v>
      </c>
      <c r="R3761" t="n">
        <v>0.07666000000000001</v>
      </c>
      <c r="S3761">
        <f>IMAGE("https://mitra.stanford.edu/kundaje/oak/projects/neuro-variants/variant_position/credible/roussos_2024/variant_figures/roussos_2024.infant.GLU/rs11760317_count_position.png",4,220,900)</f>
        <v/>
      </c>
      <c r="T3761">
        <f>IMAGE("https://mitra.stanford.edu/kundaje/oak/projects/neuro-variants/variant_position/credible/roussos_2024/variant_figures/roussos_2024.infant.GLU/rs11760317_profile_position.png",4,220,900)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0.267088646</v>
      </c>
      <c r="G3762" t="n">
        <v>0.0043898490150331</v>
      </c>
      <c r="H3762" t="n">
        <v>0.0350270328243674</v>
      </c>
      <c r="I3762" t="n">
        <v>0.034210399886002</v>
      </c>
      <c r="J3762" t="n">
        <v>0.3245640335986243</v>
      </c>
      <c r="K3762" t="n">
        <v>0.0608622677600618</v>
      </c>
      <c r="L3762" t="b">
        <v>1</v>
      </c>
      <c r="M3762" t="b">
        <v>1</v>
      </c>
      <c r="N3762" t="inlineStr">
        <is>
          <t>alt</t>
        </is>
      </c>
      <c r="O3762" t="n">
        <v>25</v>
      </c>
      <c r="P3762" t="n">
        <v>0.05225</v>
      </c>
      <c r="Q3762" t="n">
        <v>55</v>
      </c>
      <c r="R3762" t="n">
        <v>0.0503</v>
      </c>
      <c r="S3762">
        <f>IMAGE("https://mitra.stanford.edu/kundaje/oak/projects/neuro-variants/variant_position/credible/roussos_2024/variant_figures/roussos_2024.infant.GLU/rs10808141_count_position.png",4,220,900)</f>
        <v/>
      </c>
      <c r="T3762">
        <f>IMAGE("https://mitra.stanford.edu/kundaje/oak/projects/neuro-variants/variant_position/credible/roussos_2024/variant_figures/roussos_2024.infant.GLU/rs10808141_profile_position.png",4,220,900)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0.0621699999999999</v>
      </c>
      <c r="G3763" t="n">
        <v>0.1213574761631362</v>
      </c>
      <c r="H3763" t="n">
        <v>0.0484602725936808</v>
      </c>
      <c r="I3763" t="n">
        <v>0.008871193280588999</v>
      </c>
      <c r="J3763" t="n">
        <v>0.1302431711457483</v>
      </c>
      <c r="K3763" t="n">
        <v>0.1648694545302333</v>
      </c>
      <c r="L3763" t="b">
        <v>1</v>
      </c>
      <c r="M3763" t="b">
        <v>1</v>
      </c>
      <c r="N3763" t="inlineStr">
        <is>
          <t>alt</t>
        </is>
      </c>
      <c r="O3763" t="n">
        <v>60</v>
      </c>
      <c r="P3763" t="n">
        <v>0.01257</v>
      </c>
      <c r="Q3763" t="n">
        <v>55</v>
      </c>
      <c r="R3763" t="n">
        <v>0.1194</v>
      </c>
      <c r="S3763">
        <f>IMAGE("https://mitra.stanford.edu/kundaje/oak/projects/neuro-variants/variant_position/credible/roussos_2024/variant_figures/roussos_2024.infant.GLU/rs10953468_count_position.png",4,220,900)</f>
        <v/>
      </c>
      <c r="T3763">
        <f>IMAGE("https://mitra.stanford.edu/kundaje/oak/projects/neuro-variants/variant_position/credible/roussos_2024/variant_figures/roussos_2024.infant.GLU/rs10953468_profile_position.png",4,220,900)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-0.00636858056</v>
      </c>
      <c r="G3764" t="n">
        <v>0.7187740783515633</v>
      </c>
      <c r="H3764" t="n">
        <v>0.0344447258281927</v>
      </c>
      <c r="I3764" t="n">
        <v>0.0359488057834026</v>
      </c>
      <c r="J3764" t="n">
        <v>0.0047961815736678</v>
      </c>
      <c r="K3764" t="n">
        <v>0.7562407739565011</v>
      </c>
      <c r="L3764" t="b">
        <v>0</v>
      </c>
      <c r="M3764" t="b">
        <v>0</v>
      </c>
      <c r="N3764" t="inlineStr">
        <is>
          <t>ref</t>
        </is>
      </c>
      <c r="O3764" t="n">
        <v>-90</v>
      </c>
      <c r="P3764" t="n">
        <v>0.0702</v>
      </c>
      <c r="Q3764" t="n">
        <v>-100</v>
      </c>
      <c r="R3764" t="n">
        <v>0.0718</v>
      </c>
      <c r="S3764">
        <f>IMAGE("https://mitra.stanford.edu/kundaje/oak/projects/neuro-variants/variant_position/credible/roussos_2024/variant_figures/roussos_2024.infant.GLU/rs6943183_count_position.png",4,220,900)</f>
        <v/>
      </c>
      <c r="T3764">
        <f>IMAGE("https://mitra.stanford.edu/kundaje/oak/projects/neuro-variants/variant_position/credible/roussos_2024/variant_figures/roussos_2024.infant.GLU/rs6943183_profile_position.png",4,220,900)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-0.0626878287999999</v>
      </c>
      <c r="G3765" t="n">
        <v>0.1373579238227491</v>
      </c>
      <c r="H3765" t="n">
        <v>0.0106464459939989</v>
      </c>
      <c r="I3765" t="n">
        <v>0.6736051035290506</v>
      </c>
      <c r="J3765" t="n">
        <v>0.0236226548204324</v>
      </c>
      <c r="K3765" t="n">
        <v>0.501220690271814</v>
      </c>
      <c r="L3765" t="b">
        <v>0</v>
      </c>
      <c r="M3765" t="b">
        <v>0</v>
      </c>
      <c r="N3765" t="inlineStr">
        <is>
          <t>ref</t>
        </is>
      </c>
      <c r="O3765" t="n">
        <v>100</v>
      </c>
      <c r="P3765" t="n">
        <v>0.0226</v>
      </c>
      <c r="Q3765" t="n">
        <v>45</v>
      </c>
      <c r="R3765" t="n">
        <v>0.03394</v>
      </c>
      <c r="S3765">
        <f>IMAGE("https://mitra.stanford.edu/kundaje/oak/projects/neuro-variants/variant_position/credible/roussos_2024/variant_figures/roussos_2024.infant.GLU/rs3779210_count_position.png",4,220,900)</f>
        <v/>
      </c>
      <c r="T3765">
        <f>IMAGE("https://mitra.stanford.edu/kundaje/oak/projects/neuro-variants/variant_position/credible/roussos_2024/variant_figures/roussos_2024.infant.GLU/rs3779210_profile_position.png",4,220,900)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0.109499022</v>
      </c>
      <c r="G3766" t="n">
        <v>0.0417582809046323</v>
      </c>
      <c r="H3766" t="n">
        <v>0.0232204759161858</v>
      </c>
      <c r="I3766" t="n">
        <v>0.1254326392383266</v>
      </c>
      <c r="J3766" t="n">
        <v>0.0920743402632332</v>
      </c>
      <c r="K3766" t="n">
        <v>0.2243193516003258</v>
      </c>
      <c r="L3766" t="b">
        <v>0</v>
      </c>
      <c r="M3766" t="b">
        <v>0</v>
      </c>
      <c r="N3766" t="inlineStr">
        <is>
          <t>alt</t>
        </is>
      </c>
      <c r="O3766" t="n">
        <v>85</v>
      </c>
      <c r="P3766" t="n">
        <v>0.011536</v>
      </c>
      <c r="Q3766" t="n">
        <v>20</v>
      </c>
      <c r="R3766" t="n">
        <v>0.0407</v>
      </c>
      <c r="S3766">
        <f>IMAGE("https://mitra.stanford.edu/kundaje/oak/projects/neuro-variants/variant_position/credible/roussos_2024/variant_figures/roussos_2024.infant.GLU/rs10281886_count_position.png",4,220,900)</f>
        <v/>
      </c>
      <c r="T3766">
        <f>IMAGE("https://mitra.stanford.edu/kundaje/oak/projects/neuro-variants/variant_position/credible/roussos_2024/variant_figures/roussos_2024.infant.GLU/rs10281886_profile_position.png",4,220,900)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-0.0045350352599999</v>
      </c>
      <c r="G3767" t="n">
        <v>0.628844941502015</v>
      </c>
      <c r="H3767" t="n">
        <v>0.0312633549363489</v>
      </c>
      <c r="I3767" t="n">
        <v>0.0505633092824948</v>
      </c>
      <c r="J3767" t="n">
        <v>0.0956315174496791</v>
      </c>
      <c r="K3767" t="n">
        <v>0.2141981685981276</v>
      </c>
      <c r="L3767" t="b">
        <v>0</v>
      </c>
      <c r="M3767" t="b">
        <v>0</v>
      </c>
      <c r="N3767" t="inlineStr">
        <is>
          <t>ref</t>
        </is>
      </c>
      <c r="O3767" t="n">
        <v>100</v>
      </c>
      <c r="P3767" t="n">
        <v>0.0382</v>
      </c>
      <c r="Q3767" t="n">
        <v>-25</v>
      </c>
      <c r="R3767" t="n">
        <v>0.05286</v>
      </c>
      <c r="S3767">
        <f>IMAGE("https://mitra.stanford.edu/kundaje/oak/projects/neuro-variants/variant_position/credible/roussos_2024/variant_figures/roussos_2024.infant.GLU/rs2240463_count_position.png",4,220,900)</f>
        <v/>
      </c>
      <c r="T3767">
        <f>IMAGE("https://mitra.stanford.edu/kundaje/oak/projects/neuro-variants/variant_position/credible/roussos_2024/variant_figures/roussos_2024.infant.GLU/rs2240463_profile_position.png",4,220,900)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-0.080101336</v>
      </c>
      <c r="G3768" t="n">
        <v>0.07593712109027879</v>
      </c>
      <c r="H3768" t="n">
        <v>0.0293463946319758</v>
      </c>
      <c r="I3768" t="n">
        <v>0.0702950393880819</v>
      </c>
      <c r="J3768" t="n">
        <v>0.1362045018629158</v>
      </c>
      <c r="K3768" t="n">
        <v>0.1589672432870619</v>
      </c>
      <c r="L3768" t="b">
        <v>0</v>
      </c>
      <c r="M3768" t="b">
        <v>0</v>
      </c>
      <c r="N3768" t="inlineStr">
        <is>
          <t>ref</t>
        </is>
      </c>
      <c r="O3768" t="n">
        <v>-70</v>
      </c>
      <c r="P3768" t="n">
        <v>0.01965</v>
      </c>
      <c r="Q3768" t="n">
        <v>-10</v>
      </c>
      <c r="R3768" t="n">
        <v>0.01416</v>
      </c>
      <c r="S3768">
        <f>IMAGE("https://mitra.stanford.edu/kundaje/oak/projects/neuro-variants/variant_position/credible/roussos_2024/variant_figures/roussos_2024.infant.GLU/rs10281422_count_position.png",4,220,900)</f>
        <v/>
      </c>
      <c r="T3768">
        <f>IMAGE("https://mitra.stanford.edu/kundaje/oak/projects/neuro-variants/variant_position/credible/roussos_2024/variant_figures/roussos_2024.infant.GLU/rs10281422_profile_position.png",4,220,900)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0.031522947</v>
      </c>
      <c r="G3769" t="n">
        <v>0.2946181391251546</v>
      </c>
      <c r="H3769" t="n">
        <v>0.0107234886097662</v>
      </c>
      <c r="I3769" t="n">
        <v>0.6618299902148108</v>
      </c>
      <c r="J3769" t="n">
        <v>0.1655029872792609</v>
      </c>
      <c r="K3769" t="n">
        <v>0.1379314070562757</v>
      </c>
      <c r="L3769" t="b">
        <v>0</v>
      </c>
      <c r="M3769" t="b">
        <v>0</v>
      </c>
      <c r="N3769" t="inlineStr">
        <is>
          <t>alt</t>
        </is>
      </c>
      <c r="O3769" t="n">
        <v>95</v>
      </c>
      <c r="P3769" t="n">
        <v>0.01173</v>
      </c>
      <c r="Q3769" t="n">
        <v>-15</v>
      </c>
      <c r="R3769" t="n">
        <v>0.02246</v>
      </c>
      <c r="S3769">
        <f>IMAGE("https://mitra.stanford.edu/kundaje/oak/projects/neuro-variants/variant_position/credible/roussos_2024/variant_figures/roussos_2024.infant.GLU/rs41562_count_position.png",4,220,900)</f>
        <v/>
      </c>
      <c r="T3769">
        <f>IMAGE("https://mitra.stanford.edu/kundaje/oak/projects/neuro-variants/variant_position/credible/roussos_2024/variant_figures/roussos_2024.infant.GLU/rs41562_profile_position.png",4,220,900)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-0.1166860999999999</v>
      </c>
      <c r="G3770" t="n">
        <v>0.0373195080167172</v>
      </c>
      <c r="H3770" t="n">
        <v>0.018757132891536</v>
      </c>
      <c r="I3770" t="n">
        <v>0.2156183048526713</v>
      </c>
      <c r="J3770" t="n">
        <v>0.140112215877775</v>
      </c>
      <c r="K3770" t="n">
        <v>0.16186101031569</v>
      </c>
      <c r="L3770" t="b">
        <v>0</v>
      </c>
      <c r="M3770" t="b">
        <v>0</v>
      </c>
      <c r="N3770" t="inlineStr">
        <is>
          <t>ref</t>
        </is>
      </c>
      <c r="O3770" t="n">
        <v>100</v>
      </c>
      <c r="P3770" t="n">
        <v>0.007526</v>
      </c>
      <c r="Q3770" t="n">
        <v>-100</v>
      </c>
      <c r="R3770" t="n">
        <v>0.0856</v>
      </c>
      <c r="S3770">
        <f>IMAGE("https://mitra.stanford.edu/kundaje/oak/projects/neuro-variants/variant_position/credible/roussos_2024/variant_figures/roussos_2024.infant.GLU/rs2237613_count_position.png",4,220,900)</f>
        <v/>
      </c>
      <c r="T3770">
        <f>IMAGE("https://mitra.stanford.edu/kundaje/oak/projects/neuro-variants/variant_position/credible/roussos_2024/variant_figures/roussos_2024.infant.GLU/rs2237613_profile_position.png",4,220,900)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0.09935333719999991</v>
      </c>
      <c r="G3771" t="n">
        <v>0.050718470381078</v>
      </c>
      <c r="H3771" t="n">
        <v>0.0340200432206558</v>
      </c>
      <c r="I3771" t="n">
        <v>0.0376104909999003</v>
      </c>
      <c r="J3771" t="n">
        <v>0.2168434048369672</v>
      </c>
      <c r="K3771" t="n">
        <v>0.1030989230189285</v>
      </c>
      <c r="L3771" t="b">
        <v>0</v>
      </c>
      <c r="M3771" t="b">
        <v>0</v>
      </c>
      <c r="N3771" t="inlineStr">
        <is>
          <t>alt</t>
        </is>
      </c>
      <c r="O3771" t="n">
        <v>-85</v>
      </c>
      <c r="P3771" t="n">
        <v>0.03436</v>
      </c>
      <c r="Q3771" t="n">
        <v>25</v>
      </c>
      <c r="R3771" t="n">
        <v>0.0713</v>
      </c>
      <c r="S3771">
        <f>IMAGE("https://mitra.stanford.edu/kundaje/oak/projects/neuro-variants/variant_position/credible/roussos_2024/variant_figures/roussos_2024.infant.GLU/rs4730073_count_position.png",4,220,900)</f>
        <v/>
      </c>
      <c r="T3771">
        <f>IMAGE("https://mitra.stanford.edu/kundaje/oak/projects/neuro-variants/variant_position/credible/roussos_2024/variant_figures/roussos_2024.infant.GLU/rs4730073_profile_position.png",4,220,900)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-0.044691605</v>
      </c>
      <c r="G3772" t="n">
        <v>0.1974277311010329</v>
      </c>
      <c r="H3772" t="n">
        <v>0.0162227729186227</v>
      </c>
      <c r="I3772" t="n">
        <v>0.3051426542899923</v>
      </c>
      <c r="J3772" t="n">
        <v>0.1745430895742851</v>
      </c>
      <c r="K3772" t="n">
        <v>0.1390026496780606</v>
      </c>
      <c r="L3772" t="b">
        <v>0</v>
      </c>
      <c r="M3772" t="b">
        <v>0</v>
      </c>
      <c r="N3772" t="inlineStr">
        <is>
          <t>ref</t>
        </is>
      </c>
      <c r="O3772" t="n">
        <v>100</v>
      </c>
      <c r="P3772" t="n">
        <v>0.01917</v>
      </c>
      <c r="Q3772" t="n">
        <v>10</v>
      </c>
      <c r="R3772" t="n">
        <v>0.03418</v>
      </c>
      <c r="S3772">
        <f>IMAGE("https://mitra.stanford.edu/kundaje/oak/projects/neuro-variants/variant_position/credible/roussos_2024/variant_figures/roussos_2024.infant.GLU/rs10953470_count_position.png",4,220,900)</f>
        <v/>
      </c>
      <c r="T3772">
        <f>IMAGE("https://mitra.stanford.edu/kundaje/oak/projects/neuro-variants/variant_position/credible/roussos_2024/variant_figures/roussos_2024.infant.GLU/rs10953470_profile_position.png",4,220,900)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-0.0847221572</v>
      </c>
      <c r="G3773" t="n">
        <v>0.0730479161057502</v>
      </c>
      <c r="H3773" t="n">
        <v>0.0225089547013699</v>
      </c>
      <c r="I3773" t="n">
        <v>0.1345014585879427</v>
      </c>
      <c r="J3773" t="n">
        <v>0.3559855816927181</v>
      </c>
      <c r="K3773" t="n">
        <v>0.0541829413467581</v>
      </c>
      <c r="L3773" t="b">
        <v>0</v>
      </c>
      <c r="M3773" t="b">
        <v>0</v>
      </c>
      <c r="N3773" t="inlineStr">
        <is>
          <t>ref</t>
        </is>
      </c>
      <c r="O3773" t="n">
        <v>5</v>
      </c>
      <c r="P3773" t="n">
        <v>0.0005493</v>
      </c>
      <c r="Q3773" t="n">
        <v>20</v>
      </c>
      <c r="R3773" t="n">
        <v>0.0752</v>
      </c>
      <c r="S3773">
        <f>IMAGE("https://mitra.stanford.edu/kundaje/oak/projects/neuro-variants/variant_position/credible/roussos_2024/variant_figures/roussos_2024.infant.GLU/rs3801282_count_position.png",4,220,900)</f>
        <v/>
      </c>
      <c r="T3773">
        <f>IMAGE("https://mitra.stanford.edu/kundaje/oak/projects/neuro-variants/variant_position/credible/roussos_2024/variant_figures/roussos_2024.infant.GLU/rs3801282_profile_position.png",4,220,900)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-0.3200362</v>
      </c>
      <c r="G3774" t="n">
        <v>0.0024898667952539</v>
      </c>
      <c r="H3774" t="n">
        <v>0.0473394830376169</v>
      </c>
      <c r="I3774" t="n">
        <v>0.0098338513397132</v>
      </c>
      <c r="J3774" t="n">
        <v>0.034552128574263</v>
      </c>
      <c r="K3774" t="n">
        <v>0.4304310546367316</v>
      </c>
      <c r="L3774" t="b">
        <v>1</v>
      </c>
      <c r="M3774" t="b">
        <v>1</v>
      </c>
      <c r="N3774" t="inlineStr">
        <is>
          <t>ref</t>
        </is>
      </c>
      <c r="O3774" t="n">
        <v>-100</v>
      </c>
      <c r="P3774" t="n">
        <v>0.008330000000000001</v>
      </c>
      <c r="Q3774" t="n">
        <v>-25</v>
      </c>
      <c r="R3774" t="n">
        <v>0.02808</v>
      </c>
      <c r="S3774">
        <f>IMAGE("https://mitra.stanford.edu/kundaje/oak/projects/neuro-variants/variant_position/credible/roussos_2024/variant_figures/roussos_2024.infant.GLU/rs3801278_count_position.png",4,220,900)</f>
        <v/>
      </c>
      <c r="T3774">
        <f>IMAGE("https://mitra.stanford.edu/kundaje/oak/projects/neuro-variants/variant_position/credible/roussos_2024/variant_figures/roussos_2024.infant.GLU/rs3801278_profile_position.png",4,220,900)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-0.0075027097079999</v>
      </c>
      <c r="G3775" t="n">
        <v>0.7060817256487062</v>
      </c>
      <c r="H3775" t="n">
        <v>0.0460673406339396</v>
      </c>
      <c r="I3775" t="n">
        <v>0.0111191131288258</v>
      </c>
      <c r="J3775" t="n">
        <v>0.3648228576467735</v>
      </c>
      <c r="K3775" t="n">
        <v>0.0519805734727208</v>
      </c>
      <c r="L3775" t="b">
        <v>1</v>
      </c>
      <c r="M3775" t="b">
        <v>0</v>
      </c>
      <c r="N3775" t="inlineStr">
        <is>
          <t>ref</t>
        </is>
      </c>
      <c r="O3775" t="n">
        <v>70</v>
      </c>
      <c r="P3775" t="n">
        <v>0.0067</v>
      </c>
      <c r="Q3775" t="n">
        <v>90</v>
      </c>
      <c r="R3775" t="n">
        <v>0.3643</v>
      </c>
      <c r="S3775">
        <f>IMAGE("https://mitra.stanford.edu/kundaje/oak/projects/neuro-variants/variant_position/credible/roussos_2024/variant_figures/roussos_2024.infant.GLU/rs6466055_count_position.png",4,220,900)</f>
        <v/>
      </c>
      <c r="T3775">
        <f>IMAGE("https://mitra.stanford.edu/kundaje/oak/projects/neuro-variants/variant_position/credible/roussos_2024/variant_figures/roussos_2024.infant.GLU/rs6466055_profile_position.png",4,220,900)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0.00894654686</v>
      </c>
      <c r="G3776" t="n">
        <v>0.2774564513416113</v>
      </c>
      <c r="H3776" t="n">
        <v>0.0160517609926151</v>
      </c>
      <c r="I3776" t="n">
        <v>0.3113875625533265</v>
      </c>
      <c r="J3776" t="n">
        <v>0.3617165281421547</v>
      </c>
      <c r="K3776" t="n">
        <v>0.052574397402763</v>
      </c>
      <c r="L3776" t="b">
        <v>0</v>
      </c>
      <c r="M3776" t="b">
        <v>0</v>
      </c>
      <c r="N3776" t="inlineStr">
        <is>
          <t>alt</t>
        </is>
      </c>
      <c r="O3776" t="n">
        <v>85</v>
      </c>
      <c r="P3776" t="n">
        <v>0.03021</v>
      </c>
      <c r="Q3776" t="n">
        <v>-40</v>
      </c>
      <c r="R3776" t="n">
        <v>0.09569999999999999</v>
      </c>
      <c r="S3776">
        <f>IMAGE("https://mitra.stanford.edu/kundaje/oak/projects/neuro-variants/variant_position/credible/roussos_2024/variant_figures/roussos_2024.infant.GLU/rs6466056_count_position.png",4,220,900)</f>
        <v/>
      </c>
      <c r="T3776">
        <f>IMAGE("https://mitra.stanford.edu/kundaje/oak/projects/neuro-variants/variant_position/credible/roussos_2024/variant_figures/roussos_2024.infant.GLU/rs6466056_profile_position.png",4,220,900)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0.0338322154</v>
      </c>
      <c r="G3777" t="n">
        <v>0.279588598049964</v>
      </c>
      <c r="H3777" t="n">
        <v>0.0076488109687545</v>
      </c>
      <c r="I3777" t="n">
        <v>0.913376658986212</v>
      </c>
      <c r="J3777" t="n">
        <v>0.0242664079895941</v>
      </c>
      <c r="K3777" t="n">
        <v>0.4951043193114103</v>
      </c>
      <c r="L3777" t="b">
        <v>0</v>
      </c>
      <c r="M3777" t="b">
        <v>0</v>
      </c>
      <c r="N3777" t="inlineStr">
        <is>
          <t>alt</t>
        </is>
      </c>
      <c r="O3777" t="n">
        <v>90</v>
      </c>
      <c r="P3777" t="n">
        <v>0.02205</v>
      </c>
      <c r="Q3777" t="n">
        <v>55</v>
      </c>
      <c r="R3777" t="n">
        <v>0.05258</v>
      </c>
      <c r="S3777">
        <f>IMAGE("https://mitra.stanford.edu/kundaje/oak/projects/neuro-variants/variant_position/credible/roussos_2024/variant_figures/roussos_2024.infant.GLU/rs2057884_count_position.png",4,220,900)</f>
        <v/>
      </c>
      <c r="T3777">
        <f>IMAGE("https://mitra.stanford.edu/kundaje/oak/projects/neuro-variants/variant_position/credible/roussos_2024/variant_figures/roussos_2024.infant.GLU/rs2057884_profile_position.png",4,220,900)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-0.1140809599999999</v>
      </c>
      <c r="G3778" t="n">
        <v>0.0425189537539128</v>
      </c>
      <c r="H3778" t="n">
        <v>0.0251412393478355</v>
      </c>
      <c r="I3778" t="n">
        <v>0.0990278675204799</v>
      </c>
      <c r="J3778" t="n">
        <v>0.1733459732357415</v>
      </c>
      <c r="K3778" t="n">
        <v>0.1279279425416656</v>
      </c>
      <c r="L3778" t="b">
        <v>0</v>
      </c>
      <c r="M3778" t="b">
        <v>0</v>
      </c>
      <c r="N3778" t="inlineStr">
        <is>
          <t>ref</t>
        </is>
      </c>
      <c r="O3778" t="n">
        <v>-10</v>
      </c>
      <c r="P3778" t="n">
        <v>0.0009155</v>
      </c>
      <c r="Q3778" t="n">
        <v>90</v>
      </c>
      <c r="R3778" t="n">
        <v>0.02246</v>
      </c>
      <c r="S3778">
        <f>IMAGE("https://mitra.stanford.edu/kundaje/oak/projects/neuro-variants/variant_position/credible/roussos_2024/variant_figures/roussos_2024.infant.GLU/rs4730430_count_position.png",4,220,900)</f>
        <v/>
      </c>
      <c r="T3778">
        <f>IMAGE("https://mitra.stanford.edu/kundaje/oak/projects/neuro-variants/variant_position/credible/roussos_2024/variant_figures/roussos_2024.infant.GLU/rs4730430_profile_position.png",4,220,900)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0.0860713179999999</v>
      </c>
      <c r="G3779" t="n">
        <v>0.06507493970437921</v>
      </c>
      <c r="H3779" t="n">
        <v>0.0359270707151476</v>
      </c>
      <c r="I3779" t="n">
        <v>0.030741279991024</v>
      </c>
      <c r="J3779" t="n">
        <v>0.3043155713309377</v>
      </c>
      <c r="K3779" t="n">
        <v>0.06654130531713801</v>
      </c>
      <c r="L3779" t="b">
        <v>0</v>
      </c>
      <c r="M3779" t="b">
        <v>0</v>
      </c>
      <c r="N3779" t="inlineStr">
        <is>
          <t>alt</t>
        </is>
      </c>
      <c r="O3779" t="n">
        <v>-80</v>
      </c>
      <c r="P3779" t="n">
        <v>0.03247</v>
      </c>
      <c r="Q3779" t="n">
        <v>-90</v>
      </c>
      <c r="R3779" t="n">
        <v>0.2607</v>
      </c>
      <c r="S3779">
        <f>IMAGE("https://mitra.stanford.edu/kundaje/oak/projects/neuro-variants/variant_position/credible/roussos_2024/variant_figures/roussos_2024.infant.GLU/rs55634663_count_position.png",4,220,900)</f>
        <v/>
      </c>
      <c r="T3779">
        <f>IMAGE("https://mitra.stanford.edu/kundaje/oak/projects/neuro-variants/variant_position/credible/roussos_2024/variant_figures/roussos_2024.infant.GLU/rs55634663_profile_position.png",4,220,900)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0.1159905154</v>
      </c>
      <c r="G3780" t="n">
        <v>0.0417804724780448</v>
      </c>
      <c r="H3780" t="n">
        <v>0.0190113846079088</v>
      </c>
      <c r="I3780" t="n">
        <v>0.2177326269152638</v>
      </c>
      <c r="J3780" t="n">
        <v>0.2111841089971119</v>
      </c>
      <c r="K3780" t="n">
        <v>0.1021350698678568</v>
      </c>
      <c r="L3780" t="b">
        <v>0</v>
      </c>
      <c r="M3780" t="b">
        <v>0</v>
      </c>
      <c r="N3780" t="inlineStr">
        <is>
          <t>alt</t>
        </is>
      </c>
      <c r="O3780" t="n">
        <v>85</v>
      </c>
      <c r="P3780" t="n">
        <v>0.01875</v>
      </c>
      <c r="Q3780" t="n">
        <v>0</v>
      </c>
      <c r="R3780" t="n">
        <v>0</v>
      </c>
      <c r="S3780">
        <f>IMAGE("https://mitra.stanford.edu/kundaje/oak/projects/neuro-variants/variant_position/credible/roussos_2024/variant_figures/roussos_2024.infant.GLU/rs211792_count_position.png",4,220,900)</f>
        <v/>
      </c>
      <c r="T3780">
        <f>IMAGE("https://mitra.stanford.edu/kundaje/oak/projects/neuro-variants/variant_position/credible/roussos_2024/variant_figures/roussos_2024.infant.GLU/rs211792_profile_position.png",4,220,900)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0.0477241694</v>
      </c>
      <c r="G3781" t="n">
        <v>0.171774632432809</v>
      </c>
      <c r="H3781" t="n">
        <v>0.0114281770554847</v>
      </c>
      <c r="I3781" t="n">
        <v>0.6075463505742559</v>
      </c>
      <c r="J3781" t="n">
        <v>0.1765096232280252</v>
      </c>
      <c r="K3781" t="n">
        <v>0.1275519075775534</v>
      </c>
      <c r="L3781" t="b">
        <v>0</v>
      </c>
      <c r="M3781" t="b">
        <v>0</v>
      </c>
      <c r="N3781" t="inlineStr">
        <is>
          <t>alt</t>
        </is>
      </c>
      <c r="O3781" t="n">
        <v>100</v>
      </c>
      <c r="P3781" t="n">
        <v>0.05908</v>
      </c>
      <c r="Q3781" t="n">
        <v>100</v>
      </c>
      <c r="R3781" t="n">
        <v>0.05725</v>
      </c>
      <c r="S3781">
        <f>IMAGE("https://mitra.stanford.edu/kundaje/oak/projects/neuro-variants/variant_position/credible/roussos_2024/variant_figures/roussos_2024.infant.GLU/rs56680698_count_position.png",4,220,900)</f>
        <v/>
      </c>
      <c r="T3781">
        <f>IMAGE("https://mitra.stanford.edu/kundaje/oak/projects/neuro-variants/variant_position/credible/roussos_2024/variant_figures/roussos_2024.infant.GLU/rs56680698_profile_position.png",4,220,900)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-0.0242342854</v>
      </c>
      <c r="G3782" t="n">
        <v>0.4086266188520386</v>
      </c>
      <c r="H3782" t="n">
        <v>0.0331801580266042</v>
      </c>
      <c r="I3782" t="n">
        <v>0.0411641702614612</v>
      </c>
      <c r="J3782" t="n">
        <v>0.0489682312220286</v>
      </c>
      <c r="K3782" t="n">
        <v>0.341949715078956</v>
      </c>
      <c r="L3782" t="b">
        <v>0</v>
      </c>
      <c r="M3782" t="b">
        <v>0</v>
      </c>
      <c r="N3782" t="inlineStr">
        <is>
          <t>ref</t>
        </is>
      </c>
      <c r="O3782" t="n">
        <v>35</v>
      </c>
      <c r="P3782" t="n">
        <v>0.007934999999999999</v>
      </c>
      <c r="Q3782" t="n">
        <v>-70</v>
      </c>
      <c r="R3782" t="n">
        <v>0.04492</v>
      </c>
      <c r="S3782">
        <f>IMAGE("https://mitra.stanford.edu/kundaje/oak/projects/neuro-variants/variant_position/credible/roussos_2024/variant_figures/roussos_2024.infant.GLU/rs1525674_count_position.png",4,220,900)</f>
        <v/>
      </c>
      <c r="T3782">
        <f>IMAGE("https://mitra.stanford.edu/kundaje/oak/projects/neuro-variants/variant_position/credible/roussos_2024/variant_figures/roussos_2024.infant.GLU/rs1525674_profile_position.png",4,220,900)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-0.0158272954199999</v>
      </c>
      <c r="G3783" t="n">
        <v>0.5396972690595164</v>
      </c>
      <c r="H3783" t="n">
        <v>0.0159756463794257</v>
      </c>
      <c r="I3783" t="n">
        <v>0.3164757588789592</v>
      </c>
      <c r="J3783" t="n">
        <v>0.2298264952931061</v>
      </c>
      <c r="K3783" t="n">
        <v>0.0951026426513789</v>
      </c>
      <c r="L3783" t="b">
        <v>0</v>
      </c>
      <c r="M3783" t="b">
        <v>0</v>
      </c>
      <c r="N3783" t="inlineStr">
        <is>
          <t>ref</t>
        </is>
      </c>
      <c r="O3783" t="n">
        <v>80</v>
      </c>
      <c r="P3783" t="n">
        <v>0.01892</v>
      </c>
      <c r="Q3783" t="n">
        <v>80</v>
      </c>
      <c r="R3783" t="n">
        <v>0.286</v>
      </c>
      <c r="S3783">
        <f>IMAGE("https://mitra.stanford.edu/kundaje/oak/projects/neuro-variants/variant_position/credible/roussos_2024/variant_figures/roussos_2024.infant.GLU/rs214475_count_position.png",4,220,900)</f>
        <v/>
      </c>
      <c r="T3783">
        <f>IMAGE("https://mitra.stanford.edu/kundaje/oak/projects/neuro-variants/variant_position/credible/roussos_2024/variant_figures/roussos_2024.infant.GLU/rs214475_profile_position.png",4,220,900)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0.0652516404</v>
      </c>
      <c r="G3784" t="n">
        <v>0.1117885673955339</v>
      </c>
      <c r="H3784" t="n">
        <v>0.0141930777683154</v>
      </c>
      <c r="I3784" t="n">
        <v>0.4082559147660556</v>
      </c>
      <c r="J3784" t="n">
        <v>0.0104907515597786</v>
      </c>
      <c r="K3784" t="n">
        <v>0.6504256687500439</v>
      </c>
      <c r="L3784" t="b">
        <v>0</v>
      </c>
      <c r="M3784" t="b">
        <v>0</v>
      </c>
      <c r="N3784" t="inlineStr">
        <is>
          <t>alt</t>
        </is>
      </c>
      <c r="O3784" t="n">
        <v>-10</v>
      </c>
      <c r="P3784" t="n">
        <v>0.001556</v>
      </c>
      <c r="Q3784" t="n">
        <v>-10</v>
      </c>
      <c r="R3784" t="n">
        <v>0.02338</v>
      </c>
      <c r="S3784">
        <f>IMAGE("https://mitra.stanford.edu/kundaje/oak/projects/neuro-variants/variant_position/credible/roussos_2024/variant_figures/roussos_2024.infant.GLU/rs6959670_count_position.png",4,220,900)</f>
        <v/>
      </c>
      <c r="T3784">
        <f>IMAGE("https://mitra.stanford.edu/kundaje/oak/projects/neuro-variants/variant_position/credible/roussos_2024/variant_figures/roussos_2024.infant.GLU/rs6959670_profile_position.png",4,220,900)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-0.0142158056</v>
      </c>
      <c r="G3785" t="n">
        <v>0.5623972673129063</v>
      </c>
      <c r="H3785" t="n">
        <v>0.0155937896985792</v>
      </c>
      <c r="I3785" t="n">
        <v>0.3326536292601216</v>
      </c>
      <c r="J3785" t="n">
        <v>0.2508906721929495</v>
      </c>
      <c r="K3785" t="n">
        <v>0.0864303645019837</v>
      </c>
      <c r="L3785" t="b">
        <v>0</v>
      </c>
      <c r="M3785" t="b">
        <v>0</v>
      </c>
      <c r="N3785" t="inlineStr">
        <is>
          <t>ref</t>
        </is>
      </c>
      <c r="O3785" t="n">
        <v>65</v>
      </c>
      <c r="P3785" t="n">
        <v>0.01538</v>
      </c>
      <c r="Q3785" t="n">
        <v>15</v>
      </c>
      <c r="R3785" t="n">
        <v>0.0327</v>
      </c>
      <c r="S3785">
        <f>IMAGE("https://mitra.stanford.edu/kundaje/oak/projects/neuro-variants/variant_position/credible/roussos_2024/variant_figures/roussos_2024.infant.GLU/rs13239254_count_position.png",4,220,900)</f>
        <v/>
      </c>
      <c r="T3785">
        <f>IMAGE("https://mitra.stanford.edu/kundaje/oak/projects/neuro-variants/variant_position/credible/roussos_2024/variant_figures/roussos_2024.infant.GLU/rs13239254_profile_position.png",4,220,900)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-0.0299617202</v>
      </c>
      <c r="G3786" t="n">
        <v>0.3227835704506226</v>
      </c>
      <c r="H3786" t="n">
        <v>0.0170389197918717</v>
      </c>
      <c r="I3786" t="n">
        <v>0.2719178806797572</v>
      </c>
      <c r="J3786" t="n">
        <v>0.0377576666152251</v>
      </c>
      <c r="K3786" t="n">
        <v>0.4102917455693301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0.0393</v>
      </c>
      <c r="Q3786" t="n">
        <v>-80</v>
      </c>
      <c r="R3786" t="n">
        <v>0.0426</v>
      </c>
      <c r="S3786">
        <f>IMAGE("https://mitra.stanford.edu/kundaje/oak/projects/neuro-variants/variant_position/credible/roussos_2024/variant_figures/roussos_2024.infant.GLU/rs35426637_count_position.png",4,220,900)</f>
        <v/>
      </c>
      <c r="T3786">
        <f>IMAGE("https://mitra.stanford.edu/kundaje/oak/projects/neuro-variants/variant_position/credible/roussos_2024/variant_figures/roussos_2024.infant.GLU/rs35426637_profile_position.png",4,220,900)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-0.1904437699999999</v>
      </c>
      <c r="G3787" t="n">
        <v>0.0125492436339746</v>
      </c>
      <c r="H3787" t="n">
        <v>0.0293869178713749</v>
      </c>
      <c r="I3787" t="n">
        <v>0.0625505860781761</v>
      </c>
      <c r="J3787" t="n">
        <v>0.1172457505676932</v>
      </c>
      <c r="K3787" t="n">
        <v>0.1825129664575464</v>
      </c>
      <c r="L3787" t="b">
        <v>1</v>
      </c>
      <c r="M3787" t="b">
        <v>0</v>
      </c>
      <c r="N3787" t="inlineStr">
        <is>
          <t>ref</t>
        </is>
      </c>
      <c r="O3787" t="n">
        <v>-70</v>
      </c>
      <c r="P3787" t="n">
        <v>0.0407</v>
      </c>
      <c r="Q3787" t="n">
        <v>0</v>
      </c>
      <c r="R3787" t="n">
        <v>0</v>
      </c>
      <c r="S3787">
        <f>IMAGE("https://mitra.stanford.edu/kundaje/oak/projects/neuro-variants/variant_position/credible/roussos_2024/variant_figures/roussos_2024.infant.GLU/rs59369558_count_position.png",4,220,900)</f>
        <v/>
      </c>
      <c r="T3787">
        <f>IMAGE("https://mitra.stanford.edu/kundaje/oak/projects/neuro-variants/variant_position/credible/roussos_2024/variant_figures/roussos_2024.infant.GLU/rs59369558_profile_position.png",4,220,900)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-0.0873055568</v>
      </c>
      <c r="G3788" t="n">
        <v>0.0667972939846221</v>
      </c>
      <c r="H3788" t="n">
        <v>0.0309829802714705</v>
      </c>
      <c r="I3788" t="n">
        <v>0.052009229118962</v>
      </c>
      <c r="J3788" t="n">
        <v>0.1421426839216031</v>
      </c>
      <c r="K3788" t="n">
        <v>0.1646671063619701</v>
      </c>
      <c r="L3788" t="b">
        <v>0</v>
      </c>
      <c r="M3788" t="b">
        <v>0</v>
      </c>
      <c r="N3788" t="inlineStr">
        <is>
          <t>ref</t>
        </is>
      </c>
      <c r="O3788" t="n">
        <v>-35</v>
      </c>
      <c r="P3788" t="n">
        <v>0.01787</v>
      </c>
      <c r="Q3788" t="n">
        <v>90</v>
      </c>
      <c r="R3788" t="n">
        <v>0.1338</v>
      </c>
      <c r="S3788">
        <f>IMAGE("https://mitra.stanford.edu/kundaje/oak/projects/neuro-variants/variant_position/credible/roussos_2024/variant_figures/roussos_2024.infant.GLU/rs12706031_count_position.png",4,220,900)</f>
        <v/>
      </c>
      <c r="T3788">
        <f>IMAGE("https://mitra.stanford.edu/kundaje/oak/projects/neuro-variants/variant_position/credible/roussos_2024/variant_figures/roussos_2024.infant.GLU/rs12706031_profile_position.png",4,220,900)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-0.09988932</v>
      </c>
      <c r="G3789" t="n">
        <v>0.0658094458133375</v>
      </c>
      <c r="H3789" t="n">
        <v>0.0138568270996056</v>
      </c>
      <c r="I3789" t="n">
        <v>0.4348108588441066</v>
      </c>
      <c r="J3789" t="n">
        <v>0.1587016909543861</v>
      </c>
      <c r="K3789" t="n">
        <v>0.1403990820024617</v>
      </c>
      <c r="L3789" t="b">
        <v>0</v>
      </c>
      <c r="M3789" t="b">
        <v>0</v>
      </c>
      <c r="N3789" t="inlineStr">
        <is>
          <t>ref</t>
        </is>
      </c>
      <c r="O3789" t="n">
        <v>-70</v>
      </c>
      <c r="P3789" t="n">
        <v>0.0774</v>
      </c>
      <c r="Q3789" t="n">
        <v>-100</v>
      </c>
      <c r="R3789" t="n">
        <v>0.1404</v>
      </c>
      <c r="S3789">
        <f>IMAGE("https://mitra.stanford.edu/kundaje/oak/projects/neuro-variants/variant_position/credible/roussos_2024/variant_figures/roussos_2024.infant.GLU/rs2401924_count_position.png",4,220,900)</f>
        <v/>
      </c>
      <c r="T3789">
        <f>IMAGE("https://mitra.stanford.edu/kundaje/oak/projects/neuro-variants/variant_position/credible/roussos_2024/variant_figures/roussos_2024.infant.GLU/rs2401924_profile_position.png",4,220,900)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0.173858128</v>
      </c>
      <c r="G3790" t="n">
        <v>0.0149179824649445</v>
      </c>
      <c r="H3790" t="n">
        <v>0.0273321871130759</v>
      </c>
      <c r="I3790" t="n">
        <v>0.0780676944029864</v>
      </c>
      <c r="J3790" t="n">
        <v>0.2353358760113758</v>
      </c>
      <c r="K3790" t="n">
        <v>0.0921874654666013</v>
      </c>
      <c r="L3790" t="b">
        <v>1</v>
      </c>
      <c r="M3790" t="b">
        <v>0</v>
      </c>
      <c r="N3790" t="inlineStr">
        <is>
          <t>alt</t>
        </is>
      </c>
      <c r="O3790" t="n">
        <v>-100</v>
      </c>
      <c r="P3790" t="n">
        <v>0.01727</v>
      </c>
      <c r="Q3790" t="n">
        <v>100</v>
      </c>
      <c r="R3790" t="n">
        <v>0.1571</v>
      </c>
      <c r="S3790">
        <f>IMAGE("https://mitra.stanford.edu/kundaje/oak/projects/neuro-variants/variant_position/credible/roussos_2024/variant_figures/roussos_2024.infant.GLU/rs62474713_count_position.png",4,220,900)</f>
        <v/>
      </c>
      <c r="T3790">
        <f>IMAGE("https://mitra.stanford.edu/kundaje/oak/projects/neuro-variants/variant_position/credible/roussos_2024/variant_figures/roussos_2024.infant.GLU/rs62474713_profile_position.png",4,220,900)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0.0436411366</v>
      </c>
      <c r="G3791" t="n">
        <v>0.2012472450985606</v>
      </c>
      <c r="H3791" t="n">
        <v>0.0144295683255507</v>
      </c>
      <c r="I3791" t="n">
        <v>0.3943650762088869</v>
      </c>
      <c r="J3791" t="n">
        <v>0.1115908639961198</v>
      </c>
      <c r="K3791" t="n">
        <v>0.1916508181847033</v>
      </c>
      <c r="L3791" t="b">
        <v>0</v>
      </c>
      <c r="M3791" t="b">
        <v>0</v>
      </c>
      <c r="N3791" t="inlineStr">
        <is>
          <t>alt</t>
        </is>
      </c>
      <c r="O3791" t="n">
        <v>-100</v>
      </c>
      <c r="P3791" t="n">
        <v>0.288</v>
      </c>
      <c r="Q3791" t="n">
        <v>-100</v>
      </c>
      <c r="R3791" t="n">
        <v>0.0558</v>
      </c>
      <c r="S3791">
        <f>IMAGE("https://mitra.stanford.edu/kundaje/oak/projects/neuro-variants/variant_position/credible/roussos_2024/variant_figures/roussos_2024.infant.GLU/rs2401925_count_position.png",4,220,900)</f>
        <v/>
      </c>
      <c r="T3791">
        <f>IMAGE("https://mitra.stanford.edu/kundaje/oak/projects/neuro-variants/variant_position/credible/roussos_2024/variant_figures/roussos_2024.infant.GLU/rs2401925_profile_position.png",4,220,900)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-0.05290506934</v>
      </c>
      <c r="G3792" t="n">
        <v>0.1748059748295266</v>
      </c>
      <c r="H3792" t="n">
        <v>0.03196507432558</v>
      </c>
      <c r="I3792" t="n">
        <v>0.0468328165521199</v>
      </c>
      <c r="J3792" t="n">
        <v>0.140793447827333</v>
      </c>
      <c r="K3792" t="n">
        <v>0.1520991659911591</v>
      </c>
      <c r="L3792" t="b">
        <v>0</v>
      </c>
      <c r="M3792" t="b">
        <v>0</v>
      </c>
      <c r="N3792" t="inlineStr">
        <is>
          <t>ref</t>
        </is>
      </c>
      <c r="O3792" t="n">
        <v>30</v>
      </c>
      <c r="P3792" t="n">
        <v>0.02454</v>
      </c>
      <c r="Q3792" t="n">
        <v>70</v>
      </c>
      <c r="R3792" t="n">
        <v>0.0762</v>
      </c>
      <c r="S3792">
        <f>IMAGE("https://mitra.stanford.edu/kundaje/oak/projects/neuro-variants/variant_position/credible/roussos_2024/variant_figures/roussos_2024.infant.GLU/rs1358394_count_position.png",4,220,900)</f>
        <v/>
      </c>
      <c r="T3792">
        <f>IMAGE("https://mitra.stanford.edu/kundaje/oak/projects/neuro-variants/variant_position/credible/roussos_2024/variant_figures/roussos_2024.infant.GLU/rs1358394_profile_position.png",4,220,900)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0.02189794774</v>
      </c>
      <c r="G3793" t="n">
        <v>0.3978649221938603</v>
      </c>
      <c r="H3793" t="n">
        <v>0.0363501337240974</v>
      </c>
      <c r="I3793" t="n">
        <v>0.0293865614199055</v>
      </c>
      <c r="J3793" t="n">
        <v>0.0056659097422782</v>
      </c>
      <c r="K3793" t="n">
        <v>0.739166210649948</v>
      </c>
      <c r="L3793" t="b">
        <v>0</v>
      </c>
      <c r="M3793" t="b">
        <v>0</v>
      </c>
      <c r="N3793" t="inlineStr">
        <is>
          <t>alt</t>
        </is>
      </c>
      <c r="O3793" t="n">
        <v>-40</v>
      </c>
      <c r="P3793" t="n">
        <v>0.009705</v>
      </c>
      <c r="Q3793" t="n">
        <v>70</v>
      </c>
      <c r="R3793" t="n">
        <v>0.04913</v>
      </c>
      <c r="S3793">
        <f>IMAGE("https://mitra.stanford.edu/kundaje/oak/projects/neuro-variants/variant_position/credible/roussos_2024/variant_figures/roussos_2024.infant.GLU/rs4730682_count_position.png",4,220,900)</f>
        <v/>
      </c>
      <c r="T3793">
        <f>IMAGE("https://mitra.stanford.edu/kundaje/oak/projects/neuro-variants/variant_position/credible/roussos_2024/variant_figures/roussos_2024.infant.GLU/rs4730682_profile_position.png",4,220,900)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-0.0058438718559999</v>
      </c>
      <c r="G3794" t="n">
        <v>0.61522888096693</v>
      </c>
      <c r="H3794" t="n">
        <v>0.0373878409507811</v>
      </c>
      <c r="I3794" t="n">
        <v>0.0266802795113053</v>
      </c>
      <c r="J3794" t="n">
        <v>0.1425141647743556</v>
      </c>
      <c r="K3794" t="n">
        <v>0.1539582016240342</v>
      </c>
      <c r="L3794" t="b">
        <v>0</v>
      </c>
      <c r="M3794" t="b">
        <v>0</v>
      </c>
      <c r="N3794" t="inlineStr">
        <is>
          <t>ref</t>
        </is>
      </c>
      <c r="O3794" t="n">
        <v>-60</v>
      </c>
      <c r="P3794" t="n">
        <v>0.1211</v>
      </c>
      <c r="Q3794" t="n">
        <v>-85</v>
      </c>
      <c r="R3794" t="n">
        <v>0.1785</v>
      </c>
      <c r="S3794">
        <f>IMAGE("https://mitra.stanford.edu/kundaje/oak/projects/neuro-variants/variant_position/credible/roussos_2024/variant_figures/roussos_2024.infant.GLU/rs10269552_count_position.png",4,220,900)</f>
        <v/>
      </c>
      <c r="T3794">
        <f>IMAGE("https://mitra.stanford.edu/kundaje/oak/projects/neuro-variants/variant_position/credible/roussos_2024/variant_figures/roussos_2024.infant.GLU/rs10269552_profile_position.png",4,220,900)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0.149046804</v>
      </c>
      <c r="G3795" t="n">
        <v>0.0207350983618464</v>
      </c>
      <c r="H3795" t="n">
        <v>0.0239404644582857</v>
      </c>
      <c r="I3795" t="n">
        <v>0.1155851696115801</v>
      </c>
      <c r="J3795" t="n">
        <v>0.1564254062038404</v>
      </c>
      <c r="K3795" t="n">
        <v>0.1456001342561584</v>
      </c>
      <c r="L3795" t="b">
        <v>0</v>
      </c>
      <c r="M3795" t="b">
        <v>0</v>
      </c>
      <c r="N3795" t="inlineStr">
        <is>
          <t>alt</t>
        </is>
      </c>
      <c r="O3795" t="n">
        <v>5</v>
      </c>
      <c r="P3795" t="n">
        <v>0.001409</v>
      </c>
      <c r="Q3795" t="n">
        <v>-95</v>
      </c>
      <c r="R3795" t="n">
        <v>0.02881</v>
      </c>
      <c r="S3795">
        <f>IMAGE("https://mitra.stanford.edu/kundaje/oak/projects/neuro-variants/variant_position/credible/roussos_2024/variant_figures/roussos_2024.infant.GLU/rs73238074_count_position.png",4,220,900)</f>
        <v/>
      </c>
      <c r="T3795">
        <f>IMAGE("https://mitra.stanford.edu/kundaje/oak/projects/neuro-variants/variant_position/credible/roussos_2024/variant_figures/roussos_2024.infant.GLU/rs73238074_profile_position.png",4,220,900)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-0.1022510082</v>
      </c>
      <c r="G3796" t="n">
        <v>0.0480651489705387</v>
      </c>
      <c r="H3796" t="n">
        <v>0.0159856192491699</v>
      </c>
      <c r="I3796" t="n">
        <v>0.3130695182474013</v>
      </c>
      <c r="J3796" t="n">
        <v>0.1471824775678475</v>
      </c>
      <c r="K3796" t="n">
        <v>0.1481649955699045</v>
      </c>
      <c r="L3796" t="b">
        <v>0</v>
      </c>
      <c r="M3796" t="b">
        <v>0</v>
      </c>
      <c r="N3796" t="inlineStr">
        <is>
          <t>ref</t>
        </is>
      </c>
      <c r="O3796" t="n">
        <v>-95</v>
      </c>
      <c r="P3796" t="n">
        <v>0.00312</v>
      </c>
      <c r="Q3796" t="n">
        <v>-85</v>
      </c>
      <c r="R3796" t="n">
        <v>0.02075</v>
      </c>
      <c r="S3796">
        <f>IMAGE("https://mitra.stanford.edu/kundaje/oak/projects/neuro-variants/variant_position/credible/roussos_2024/variant_figures/roussos_2024.infant.GLU/rs3757753_count_position.png",4,220,900)</f>
        <v/>
      </c>
      <c r="T3796">
        <f>IMAGE("https://mitra.stanford.edu/kundaje/oak/projects/neuro-variants/variant_position/credible/roussos_2024/variant_figures/roussos_2024.infant.GLU/rs3757753_profile_position.png",4,220,900)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-0.0197957022</v>
      </c>
      <c r="G3797" t="n">
        <v>0.3707809698776695</v>
      </c>
      <c r="H3797" t="n">
        <v>0.0118852485447391</v>
      </c>
      <c r="I3797" t="n">
        <v>0.5673064443046957</v>
      </c>
      <c r="J3797" t="n">
        <v>0.4336460239423267</v>
      </c>
      <c r="K3797" t="n">
        <v>0.0393634396918576</v>
      </c>
      <c r="L3797" t="b">
        <v>0</v>
      </c>
      <c r="M3797" t="b">
        <v>0</v>
      </c>
      <c r="N3797" t="inlineStr">
        <is>
          <t>ref</t>
        </is>
      </c>
      <c r="O3797" t="n">
        <v>-55</v>
      </c>
      <c r="P3797" t="n">
        <v>0.00421</v>
      </c>
      <c r="Q3797" t="n">
        <v>60</v>
      </c>
      <c r="R3797" t="n">
        <v>0.1057</v>
      </c>
      <c r="S3797">
        <f>IMAGE("https://mitra.stanford.edu/kundaje/oak/projects/neuro-variants/variant_position/credible/roussos_2024/variant_figures/roussos_2024.infant.GLU/rs322832_count_position.png",4,220,900)</f>
        <v/>
      </c>
      <c r="T3797">
        <f>IMAGE("https://mitra.stanford.edu/kundaje/oak/projects/neuro-variants/variant_position/credible/roussos_2024/variant_figures/roussos_2024.infant.GLU/rs322832_profile_position.png",4,220,900)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0.03134173</v>
      </c>
      <c r="G3798" t="n">
        <v>0.2969038132125567</v>
      </c>
      <c r="H3798" t="n">
        <v>0.0340508610276606</v>
      </c>
      <c r="I3798" t="n">
        <v>0.0373194031137028</v>
      </c>
      <c r="J3798" t="n">
        <v>0.0207885976322228</v>
      </c>
      <c r="K3798" t="n">
        <v>0.5310840904194664</v>
      </c>
      <c r="L3798" t="b">
        <v>0</v>
      </c>
      <c r="M3798" t="b">
        <v>0</v>
      </c>
      <c r="N3798" t="inlineStr">
        <is>
          <t>alt</t>
        </is>
      </c>
      <c r="O3798" t="n">
        <v>-5</v>
      </c>
      <c r="P3798" t="n">
        <v>0.001071</v>
      </c>
      <c r="Q3798" t="n">
        <v>-85</v>
      </c>
      <c r="R3798" t="n">
        <v>0.07434</v>
      </c>
      <c r="S3798">
        <f>IMAGE("https://mitra.stanford.edu/kundaje/oak/projects/neuro-variants/variant_position/credible/roussos_2024/variant_figures/roussos_2024.infant.GLU/rs6954161_count_position.png",4,220,900)</f>
        <v/>
      </c>
      <c r="T3798">
        <f>IMAGE("https://mitra.stanford.edu/kundaje/oak/projects/neuro-variants/variant_position/credible/roussos_2024/variant_figures/roussos_2024.infant.GLU/rs6954161_profile_position.png",4,220,900)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0.0505375938</v>
      </c>
      <c r="G3799" t="n">
        <v>0.1619163991095357</v>
      </c>
      <c r="H3799" t="n">
        <v>0.0143734250262367</v>
      </c>
      <c r="I3799" t="n">
        <v>0.3965707779479556</v>
      </c>
      <c r="J3799" t="n">
        <v>0.0363665424722766</v>
      </c>
      <c r="K3799" t="n">
        <v>0.4129582157579963</v>
      </c>
      <c r="L3799" t="b">
        <v>0</v>
      </c>
      <c r="M3799" t="b">
        <v>0</v>
      </c>
      <c r="N3799" t="inlineStr">
        <is>
          <t>alt</t>
        </is>
      </c>
      <c r="O3799" t="n">
        <v>-5</v>
      </c>
      <c r="P3799" t="n">
        <v>0.000534</v>
      </c>
      <c r="Q3799" t="n">
        <v>75</v>
      </c>
      <c r="R3799" t="n">
        <v>0.11475</v>
      </c>
      <c r="S3799">
        <f>IMAGE("https://mitra.stanford.edu/kundaje/oak/projects/neuro-variants/variant_position/credible/roussos_2024/variant_figures/roussos_2024.infant.GLU/rs6954389_count_position.png",4,220,900)</f>
        <v/>
      </c>
      <c r="T3799">
        <f>IMAGE("https://mitra.stanford.edu/kundaje/oak/projects/neuro-variants/variant_position/credible/roussos_2024/variant_figures/roussos_2024.infant.GLU/rs6954389_profile_position.png",4,220,900)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-0.1812784399999999</v>
      </c>
      <c r="G3800" t="n">
        <v>0.0143828604035806</v>
      </c>
      <c r="H3800" t="n">
        <v>0.0257528553627123</v>
      </c>
      <c r="I3800" t="n">
        <v>0.095746829858955</v>
      </c>
      <c r="J3800" t="n">
        <v>0.0893571286844947</v>
      </c>
      <c r="K3800" t="n">
        <v>0.2315751097643194</v>
      </c>
      <c r="L3800" t="b">
        <v>1</v>
      </c>
      <c r="M3800" t="b">
        <v>0</v>
      </c>
      <c r="N3800" t="inlineStr">
        <is>
          <t>ref</t>
        </is>
      </c>
      <c r="O3800" t="n">
        <v>-35</v>
      </c>
      <c r="P3800" t="n">
        <v>0.009339999999999999</v>
      </c>
      <c r="Q3800" t="n">
        <v>-35</v>
      </c>
      <c r="R3800" t="n">
        <v>0.0371</v>
      </c>
      <c r="S3800">
        <f>IMAGE("https://mitra.stanford.edu/kundaje/oak/projects/neuro-variants/variant_position/credible/roussos_2024/variant_figures/roussos_2024.infant.GLU/rs7792971_count_position.png",4,220,900)</f>
        <v/>
      </c>
      <c r="T3800">
        <f>IMAGE("https://mitra.stanford.edu/kundaje/oak/projects/neuro-variants/variant_position/credible/roussos_2024/variant_figures/roussos_2024.infant.GLU/rs7792971_profile_position.png",4,220,900)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-0.00700883362</v>
      </c>
      <c r="G3801" t="n">
        <v>0.7515182697478094</v>
      </c>
      <c r="H3801" t="n">
        <v>0.0087201461232528</v>
      </c>
      <c r="I3801" t="n">
        <v>0.8499469500611475</v>
      </c>
      <c r="J3801" t="n">
        <v>0.0205163253158137</v>
      </c>
      <c r="K3801" t="n">
        <v>0.543653727330722</v>
      </c>
      <c r="L3801" t="b">
        <v>0</v>
      </c>
      <c r="M3801" t="b">
        <v>0</v>
      </c>
      <c r="N3801" t="inlineStr">
        <is>
          <t>ref</t>
        </is>
      </c>
      <c r="O3801" t="n">
        <v>-55</v>
      </c>
      <c r="P3801" t="n">
        <v>0.01181</v>
      </c>
      <c r="Q3801" t="n">
        <v>-60</v>
      </c>
      <c r="R3801" t="n">
        <v>0.03955</v>
      </c>
      <c r="S3801">
        <f>IMAGE("https://mitra.stanford.edu/kundaje/oak/projects/neuro-variants/variant_position/credible/roussos_2024/variant_figures/roussos_2024.infant.GLU/rs6467161_count_position.png",4,220,900)</f>
        <v/>
      </c>
      <c r="T3801">
        <f>IMAGE("https://mitra.stanford.edu/kundaje/oak/projects/neuro-variants/variant_position/credible/roussos_2024/variant_figures/roussos_2024.infant.GLU/rs6467161_profile_position.png",4,220,900)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-0.0234593692</v>
      </c>
      <c r="G3802" t="n">
        <v>0.4076748829638058</v>
      </c>
      <c r="H3802" t="n">
        <v>0.012529297263821</v>
      </c>
      <c r="I3802" t="n">
        <v>0.5193552222969668</v>
      </c>
      <c r="J3802" t="n">
        <v>0.4652494543530501</v>
      </c>
      <c r="K3802" t="n">
        <v>0.0353389124319419</v>
      </c>
      <c r="L3802" t="b">
        <v>0</v>
      </c>
      <c r="M3802" t="b">
        <v>0</v>
      </c>
      <c r="N3802" t="inlineStr">
        <is>
          <t>ref</t>
        </is>
      </c>
      <c r="O3802" t="n">
        <v>-15</v>
      </c>
      <c r="P3802" t="n">
        <v>0.0007324</v>
      </c>
      <c r="Q3802" t="n">
        <v>100</v>
      </c>
      <c r="R3802" t="n">
        <v>0.02356</v>
      </c>
      <c r="S3802">
        <f>IMAGE("https://mitra.stanford.edu/kundaje/oak/projects/neuro-variants/variant_position/credible/roussos_2024/variant_figures/roussos_2024.infant.GLU/rs7803473_count_position.png",4,220,900)</f>
        <v/>
      </c>
      <c r="T3802">
        <f>IMAGE("https://mitra.stanford.edu/kundaje/oak/projects/neuro-variants/variant_position/credible/roussos_2024/variant_figures/roussos_2024.infant.GLU/rs7803473_profile_position.png",4,220,900)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-0.4922014799999999</v>
      </c>
      <c r="G3803" t="n">
        <v>0.0004508742759003</v>
      </c>
      <c r="H3803" t="n">
        <v>0.086055206702387</v>
      </c>
      <c r="I3803" t="n">
        <v>0.0004736214899956</v>
      </c>
      <c r="J3803" t="n">
        <v>0.7527965784078131</v>
      </c>
      <c r="K3803" t="n">
        <v>0.0108434979915364</v>
      </c>
      <c r="L3803" t="b">
        <v>1</v>
      </c>
      <c r="M3803" t="b">
        <v>1</v>
      </c>
      <c r="N3803" t="inlineStr">
        <is>
          <t>ref</t>
        </is>
      </c>
      <c r="O3803" t="n">
        <v>-5</v>
      </c>
      <c r="P3803" t="n">
        <v>0.0004883</v>
      </c>
      <c r="Q3803" t="n">
        <v>40</v>
      </c>
      <c r="R3803" t="n">
        <v>0.11694</v>
      </c>
      <c r="S3803">
        <f>IMAGE("https://mitra.stanford.edu/kundaje/oak/projects/neuro-variants/variant_position/credible/roussos_2024/variant_figures/roussos_2024.infant.GLU/rs6467163_count_position.png",4,220,900)</f>
        <v/>
      </c>
      <c r="T3803">
        <f>IMAGE("https://mitra.stanford.edu/kundaje/oak/projects/neuro-variants/variant_position/credible/roussos_2024/variant_figures/roussos_2024.infant.GLU/rs6467163_profile_position.png",4,220,900)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-0.012422426</v>
      </c>
      <c r="G3804" t="n">
        <v>0.5675740305622702</v>
      </c>
      <c r="H3804" t="n">
        <v>0.0113792340745669</v>
      </c>
      <c r="I3804" t="n">
        <v>0.6029312772473273</v>
      </c>
      <c r="J3804" t="n">
        <v>0.0579708547366564</v>
      </c>
      <c r="K3804" t="n">
        <v>0.3092948176229081</v>
      </c>
      <c r="L3804" t="b">
        <v>0</v>
      </c>
      <c r="M3804" t="b">
        <v>0</v>
      </c>
      <c r="N3804" t="inlineStr">
        <is>
          <t>ref</t>
        </is>
      </c>
      <c r="O3804" t="n">
        <v>-35</v>
      </c>
      <c r="P3804" t="n">
        <v>0.003052</v>
      </c>
      <c r="Q3804" t="n">
        <v>95</v>
      </c>
      <c r="R3804" t="n">
        <v>0.03644</v>
      </c>
      <c r="S3804">
        <f>IMAGE("https://mitra.stanford.edu/kundaje/oak/projects/neuro-variants/variant_position/credible/roussos_2024/variant_figures/roussos_2024.infant.GLU/rs73239723_count_position.png",4,220,900)</f>
        <v/>
      </c>
      <c r="T3804">
        <f>IMAGE("https://mitra.stanford.edu/kundaje/oak/projects/neuro-variants/variant_position/credible/roussos_2024/variant_figures/roussos_2024.infant.GLU/rs73239723_profile_position.png",4,220,900)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-0.0253542991999999</v>
      </c>
      <c r="G3805" t="n">
        <v>0.3755010946930583</v>
      </c>
      <c r="H3805" t="n">
        <v>0.0073395282878267</v>
      </c>
      <c r="I3805" t="n">
        <v>0.945849867517044</v>
      </c>
      <c r="J3805" t="n">
        <v>0.2695683326351992</v>
      </c>
      <c r="K3805" t="n">
        <v>0.0765930175492496</v>
      </c>
      <c r="L3805" t="b">
        <v>0</v>
      </c>
      <c r="M3805" t="b">
        <v>0</v>
      </c>
      <c r="N3805" t="inlineStr">
        <is>
          <t>ref</t>
        </is>
      </c>
      <c r="O3805" t="n">
        <v>-60</v>
      </c>
      <c r="P3805" t="n">
        <v>0.011154</v>
      </c>
      <c r="Q3805" t="n">
        <v>85</v>
      </c>
      <c r="R3805" t="n">
        <v>0.1748</v>
      </c>
      <c r="S3805">
        <f>IMAGE("https://mitra.stanford.edu/kundaje/oak/projects/neuro-variants/variant_position/credible/roussos_2024/variant_figures/roussos_2024.infant.GLU/rs142949934_count_position.png",4,220,900)</f>
        <v/>
      </c>
      <c r="T3805">
        <f>IMAGE("https://mitra.stanford.edu/kundaje/oak/projects/neuro-variants/variant_position/credible/roussos_2024/variant_figures/roussos_2024.infant.GLU/rs142949934_profile_position.png",4,220,900)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-0.0176363986</v>
      </c>
      <c r="G3806" t="n">
        <v>0.3255154092009489</v>
      </c>
      <c r="H3806" t="n">
        <v>0.0272322761688463</v>
      </c>
      <c r="I3806" t="n">
        <v>0.0801068606060065</v>
      </c>
      <c r="J3806" t="n">
        <v>0.0392942966114772</v>
      </c>
      <c r="K3806" t="n">
        <v>0.3891964709914023</v>
      </c>
      <c r="L3806" t="b">
        <v>0</v>
      </c>
      <c r="M3806" t="b">
        <v>0</v>
      </c>
      <c r="N3806" t="inlineStr">
        <is>
          <t>ref</t>
        </is>
      </c>
      <c r="O3806" t="n">
        <v>-60</v>
      </c>
      <c r="P3806" t="n">
        <v>0.007324</v>
      </c>
      <c r="Q3806" t="n">
        <v>10</v>
      </c>
      <c r="R3806" t="n">
        <v>0.02979</v>
      </c>
      <c r="S3806">
        <f>IMAGE("https://mitra.stanford.edu/kundaje/oak/projects/neuro-variants/variant_position/credible/roussos_2024/variant_figures/roussos_2024.infant.GLU/rs2122628_count_position.png",4,220,900)</f>
        <v/>
      </c>
      <c r="T3806">
        <f>IMAGE("https://mitra.stanford.edu/kundaje/oak/projects/neuro-variants/variant_position/credible/roussos_2024/variant_figures/roussos_2024.infant.GLU/rs2122628_profile_position.png",4,220,900)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0.0390851474</v>
      </c>
      <c r="G3807" t="n">
        <v>0.2388543785585223</v>
      </c>
      <c r="H3807" t="n">
        <v>0.016230031107165</v>
      </c>
      <c r="I3807" t="n">
        <v>0.3010434446339133</v>
      </c>
      <c r="J3807" t="n">
        <v>0.1414790890451729</v>
      </c>
      <c r="K3807" t="n">
        <v>0.1510913503762381</v>
      </c>
      <c r="L3807" t="b">
        <v>0</v>
      </c>
      <c r="M3807" t="b">
        <v>0</v>
      </c>
      <c r="N3807" t="inlineStr">
        <is>
          <t>alt</t>
        </is>
      </c>
      <c r="O3807" t="n">
        <v>80</v>
      </c>
      <c r="P3807" t="n">
        <v>0.005333</v>
      </c>
      <c r="Q3807" t="n">
        <v>90</v>
      </c>
      <c r="R3807" t="n">
        <v>0.0959</v>
      </c>
      <c r="S3807">
        <f>IMAGE("https://mitra.stanford.edu/kundaje/oak/projects/neuro-variants/variant_position/credible/roussos_2024/variant_figures/roussos_2024.infant.GLU/rs10245775_count_position.png",4,220,900)</f>
        <v/>
      </c>
      <c r="T3807">
        <f>IMAGE("https://mitra.stanford.edu/kundaje/oak/projects/neuro-variants/variant_position/credible/roussos_2024/variant_figures/roussos_2024.infant.GLU/rs10245775_profile_position.png",4,220,900)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-0.00167305496</v>
      </c>
      <c r="G3808" t="n">
        <v>0.7939113706533146</v>
      </c>
      <c r="H3808" t="n">
        <v>0.0157639088144774</v>
      </c>
      <c r="I3808" t="n">
        <v>0.3215786194120715</v>
      </c>
      <c r="J3808" t="n">
        <v>0.0555931568156264</v>
      </c>
      <c r="K3808" t="n">
        <v>0.3336319915160512</v>
      </c>
      <c r="L3808" t="b">
        <v>0</v>
      </c>
      <c r="M3808" t="b">
        <v>0</v>
      </c>
      <c r="N3808" t="inlineStr">
        <is>
          <t>ref</t>
        </is>
      </c>
      <c r="O3808" t="n">
        <v>90</v>
      </c>
      <c r="P3808" t="n">
        <v>0.00563</v>
      </c>
      <c r="Q3808" t="n">
        <v>-40</v>
      </c>
      <c r="R3808" t="n">
        <v>0.04865</v>
      </c>
      <c r="S3808">
        <f>IMAGE("https://mitra.stanford.edu/kundaje/oak/projects/neuro-variants/variant_position/credible/roussos_2024/variant_figures/roussos_2024.infant.GLU/rs6944918_count_position.png",4,220,900)</f>
        <v/>
      </c>
      <c r="T3808">
        <f>IMAGE("https://mitra.stanford.edu/kundaje/oak/projects/neuro-variants/variant_position/credible/roussos_2024/variant_figures/roussos_2024.infant.GLU/rs6944918_profile_position.png",4,220,900)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-0.0391605672</v>
      </c>
      <c r="G3809" t="n">
        <v>0.2420299453922109</v>
      </c>
      <c r="H3809" t="n">
        <v>0.0125056966356391</v>
      </c>
      <c r="I3809" t="n">
        <v>0.5196546530016327</v>
      </c>
      <c r="J3809" t="n">
        <v>0.0737383981128331</v>
      </c>
      <c r="K3809" t="n">
        <v>0.2822004211560865</v>
      </c>
      <c r="L3809" t="b">
        <v>0</v>
      </c>
      <c r="M3809" t="b">
        <v>0</v>
      </c>
      <c r="N3809" t="inlineStr">
        <is>
          <t>ref</t>
        </is>
      </c>
      <c r="O3809" t="n">
        <v>30</v>
      </c>
      <c r="P3809" t="n">
        <v>0.01353</v>
      </c>
      <c r="Q3809" t="n">
        <v>70</v>
      </c>
      <c r="R3809" t="n">
        <v>0.08905</v>
      </c>
      <c r="S3809">
        <f>IMAGE("https://mitra.stanford.edu/kundaje/oak/projects/neuro-variants/variant_position/credible/roussos_2024/variant_figures/roussos_2024.infant.GLU/rs6945544_count_position.png",4,220,900)</f>
        <v/>
      </c>
      <c r="T3809">
        <f>IMAGE("https://mitra.stanford.edu/kundaje/oak/projects/neuro-variants/variant_position/credible/roussos_2024/variant_figures/roussos_2024.infant.GLU/rs6945544_profile_position.png",4,220,900)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0.10691818</v>
      </c>
      <c r="G3810" t="n">
        <v>0.0429520986802505</v>
      </c>
      <c r="H3810" t="n">
        <v>0.0224792993025354</v>
      </c>
      <c r="I3810" t="n">
        <v>0.1389260522262977</v>
      </c>
      <c r="J3810" t="n">
        <v>0.1120262792389602</v>
      </c>
      <c r="K3810" t="n">
        <v>0.1931641701095794</v>
      </c>
      <c r="L3810" t="b">
        <v>0</v>
      </c>
      <c r="M3810" t="b">
        <v>0</v>
      </c>
      <c r="N3810" t="inlineStr">
        <is>
          <t>alt</t>
        </is>
      </c>
      <c r="O3810" t="n">
        <v>-95</v>
      </c>
      <c r="P3810" t="n">
        <v>0.0658</v>
      </c>
      <c r="Q3810" t="n">
        <v>-95</v>
      </c>
      <c r="R3810" t="n">
        <v>0.2822</v>
      </c>
      <c r="S3810">
        <f>IMAGE("https://mitra.stanford.edu/kundaje/oak/projects/neuro-variants/variant_position/credible/roussos_2024/variant_figures/roussos_2024.infant.GLU/rs11975170_count_position.png",4,220,900)</f>
        <v/>
      </c>
      <c r="T3810">
        <f>IMAGE("https://mitra.stanford.edu/kundaje/oak/projects/neuro-variants/variant_position/credible/roussos_2024/variant_figures/roussos_2024.infant.GLU/rs11975170_profile_position.png",4,220,900)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0.0263969694799999</v>
      </c>
      <c r="G3811" t="n">
        <v>0.3682728575077491</v>
      </c>
      <c r="H3811" t="n">
        <v>0.0247167356280679</v>
      </c>
      <c r="I3811" t="n">
        <v>0.1040495618349447</v>
      </c>
      <c r="J3811" t="n">
        <v>0.1473235741528692</v>
      </c>
      <c r="K3811" t="n">
        <v>0.1481944610985697</v>
      </c>
      <c r="L3811" t="b">
        <v>0</v>
      </c>
      <c r="M3811" t="b">
        <v>0</v>
      </c>
      <c r="N3811" t="inlineStr">
        <is>
          <t>alt</t>
        </is>
      </c>
      <c r="O3811" t="n">
        <v>80</v>
      </c>
      <c r="P3811" t="n">
        <v>0.07104000000000001</v>
      </c>
      <c r="Q3811" t="n">
        <v>100</v>
      </c>
      <c r="R3811" t="n">
        <v>0.2468</v>
      </c>
      <c r="S3811">
        <f>IMAGE("https://mitra.stanford.edu/kundaje/oak/projects/neuro-variants/variant_position/credible/roussos_2024/variant_figures/roussos_2024.infant.GLU/rs10954343_count_position.png",4,220,900)</f>
        <v/>
      </c>
      <c r="T3811">
        <f>IMAGE("https://mitra.stanford.edu/kundaje/oak/projects/neuro-variants/variant_position/credible/roussos_2024/variant_figures/roussos_2024.infant.GLU/rs10954343_profile_position.png",4,220,900)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-0.0109958610799999</v>
      </c>
      <c r="G3812" t="n">
        <v>0.561590982929483</v>
      </c>
      <c r="H3812" t="n">
        <v>0.0110039184063049</v>
      </c>
      <c r="I3812" t="n">
        <v>0.6472581423054025</v>
      </c>
      <c r="J3812" t="n">
        <v>0.0043916312088008</v>
      </c>
      <c r="K3812" t="n">
        <v>0.8070134318897301</v>
      </c>
      <c r="L3812" t="b">
        <v>0</v>
      </c>
      <c r="M3812" t="b">
        <v>0</v>
      </c>
      <c r="N3812" t="inlineStr">
        <is>
          <t>ref</t>
        </is>
      </c>
      <c r="O3812" t="n">
        <v>95</v>
      </c>
      <c r="P3812" t="n">
        <v>0.0406</v>
      </c>
      <c r="Q3812" t="n">
        <v>100</v>
      </c>
      <c r="R3812" t="n">
        <v>0.1321</v>
      </c>
      <c r="S3812">
        <f>IMAGE("https://mitra.stanford.edu/kundaje/oak/projects/neuro-variants/variant_position/credible/roussos_2024/variant_figures/roussos_2024.infant.GLU/rs6955090_count_position.png",4,220,900)</f>
        <v/>
      </c>
      <c r="T3812">
        <f>IMAGE("https://mitra.stanford.edu/kundaje/oak/projects/neuro-variants/variant_position/credible/roussos_2024/variant_figures/roussos_2024.infant.GLU/rs6955090_profile_position.png",4,220,900)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-0.0037366720399999</v>
      </c>
      <c r="G3813" t="n">
        <v>0.7416628054827076</v>
      </c>
      <c r="H3813" t="n">
        <v>0.0157372843223688</v>
      </c>
      <c r="I3813" t="n">
        <v>0.3259356643195938</v>
      </c>
      <c r="J3813" t="n">
        <v>0.0224553010427918</v>
      </c>
      <c r="K3813" t="n">
        <v>0.5223836445386093</v>
      </c>
      <c r="L3813" t="b">
        <v>0</v>
      </c>
      <c r="M3813" t="b">
        <v>0</v>
      </c>
      <c r="N3813" t="inlineStr">
        <is>
          <t>ref</t>
        </is>
      </c>
      <c r="O3813" t="n">
        <v>90</v>
      </c>
      <c r="P3813" t="n">
        <v>0.005623</v>
      </c>
      <c r="Q3813" t="n">
        <v>100</v>
      </c>
      <c r="R3813" t="n">
        <v>0.11206</v>
      </c>
      <c r="S3813">
        <f>IMAGE("https://mitra.stanford.edu/kundaje/oak/projects/neuro-variants/variant_position/credible/roussos_2024/variant_figures/roussos_2024.infant.GLU/rs73725651_count_position.png",4,220,900)</f>
        <v/>
      </c>
      <c r="T3813">
        <f>IMAGE("https://mitra.stanford.edu/kundaje/oak/projects/neuro-variants/variant_position/credible/roussos_2024/variant_figures/roussos_2024.infant.GLU/rs73725651_profile_position.png",4,220,900)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-0.0097966675</v>
      </c>
      <c r="G3814" t="n">
        <v>0.5939208268218338</v>
      </c>
      <c r="H3814" t="n">
        <v>0.0125279630122409</v>
      </c>
      <c r="I3814" t="n">
        <v>0.518234154110002</v>
      </c>
      <c r="J3814" t="n">
        <v>0.0067704314469013</v>
      </c>
      <c r="K3814" t="n">
        <v>0.724430639084612</v>
      </c>
      <c r="L3814" t="b">
        <v>0</v>
      </c>
      <c r="M3814" t="b">
        <v>0</v>
      </c>
      <c r="N3814" t="inlineStr">
        <is>
          <t>ref</t>
        </is>
      </c>
      <c r="O3814" t="n">
        <v>-30</v>
      </c>
      <c r="P3814" t="n">
        <v>0.01247</v>
      </c>
      <c r="Q3814" t="n">
        <v>-30</v>
      </c>
      <c r="R3814" t="n">
        <v>0.0791</v>
      </c>
      <c r="S3814">
        <f>IMAGE("https://mitra.stanford.edu/kundaje/oak/projects/neuro-variants/variant_position/credible/roussos_2024/variant_figures/roussos_2024.infant.GLU/rs7799455_count_position.png",4,220,900)</f>
        <v/>
      </c>
      <c r="T3814">
        <f>IMAGE("https://mitra.stanford.edu/kundaje/oak/projects/neuro-variants/variant_position/credible/roussos_2024/variant_figures/roussos_2024.infant.GLU/rs7799455_profile_position.png",4,220,900)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-0.0910080102</v>
      </c>
      <c r="G3815" t="n">
        <v>0.0671498889457212</v>
      </c>
      <c r="H3815" t="n">
        <v>0.0242494598471597</v>
      </c>
      <c r="I3815" t="n">
        <v>0.1250494763884753</v>
      </c>
      <c r="J3815" t="n">
        <v>0.0916598690447319</v>
      </c>
      <c r="K3815" t="n">
        <v>0.2258925399873708</v>
      </c>
      <c r="L3815" t="b">
        <v>0</v>
      </c>
      <c r="M3815" t="b">
        <v>0</v>
      </c>
      <c r="N3815" t="inlineStr">
        <is>
          <t>ref</t>
        </is>
      </c>
      <c r="O3815" t="n">
        <v>10</v>
      </c>
      <c r="P3815" t="n">
        <v>0.0003662</v>
      </c>
      <c r="Q3815" t="n">
        <v>100</v>
      </c>
      <c r="R3815" t="n">
        <v>0.133</v>
      </c>
      <c r="S3815">
        <f>IMAGE("https://mitra.stanford.edu/kundaje/oak/projects/neuro-variants/variant_position/credible/roussos_2024/variant_figures/roussos_2024.infant.GLU/rs10260150_count_position.png",4,220,900)</f>
        <v/>
      </c>
      <c r="T3815">
        <f>IMAGE("https://mitra.stanford.edu/kundaje/oak/projects/neuro-variants/variant_position/credible/roussos_2024/variant_figures/roussos_2024.infant.GLU/rs10260150_profile_position.png",4,220,900)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0.0433903792</v>
      </c>
      <c r="G3816" t="n">
        <v>0.2015912741442697</v>
      </c>
      <c r="H3816" t="n">
        <v>0.021551363654648</v>
      </c>
      <c r="I3816" t="n">
        <v>0.1557359781936976</v>
      </c>
      <c r="J3816" t="n">
        <v>0.1283185255406865</v>
      </c>
      <c r="K3816" t="n">
        <v>0.1738199879524191</v>
      </c>
      <c r="L3816" t="b">
        <v>0</v>
      </c>
      <c r="M3816" t="b">
        <v>0</v>
      </c>
      <c r="N3816" t="inlineStr">
        <is>
          <t>alt</t>
        </is>
      </c>
      <c r="O3816" t="n">
        <v>-100</v>
      </c>
      <c r="P3816" t="n">
        <v>0.01049</v>
      </c>
      <c r="Q3816" t="n">
        <v>40</v>
      </c>
      <c r="R3816" t="n">
        <v>0.12256</v>
      </c>
      <c r="S3816">
        <f>IMAGE("https://mitra.stanford.edu/kundaje/oak/projects/neuro-variants/variant_position/credible/roussos_2024/variant_figures/roussos_2024.infant.GLU/rs11772439_count_position.png",4,220,900)</f>
        <v/>
      </c>
      <c r="T3816">
        <f>IMAGE("https://mitra.stanford.edu/kundaje/oak/projects/neuro-variants/variant_position/credible/roussos_2024/variant_figures/roussos_2024.infant.GLU/rs11772439_profile_position.png",4,220,900)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-0.1167734239999999</v>
      </c>
      <c r="G3817" t="n">
        <v>0.0357364608476273</v>
      </c>
      <c r="H3817" t="n">
        <v>0.016397876046068</v>
      </c>
      <c r="I3817" t="n">
        <v>0.2949340273162842</v>
      </c>
      <c r="J3817" t="n">
        <v>0.2854229590599439</v>
      </c>
      <c r="K3817" t="n">
        <v>0.0716608655054187</v>
      </c>
      <c r="L3817" t="b">
        <v>0</v>
      </c>
      <c r="M3817" t="b">
        <v>0</v>
      </c>
      <c r="N3817" t="inlineStr">
        <is>
          <t>ref</t>
        </is>
      </c>
      <c r="O3817" t="n">
        <v>35</v>
      </c>
      <c r="P3817" t="n">
        <v>0.004333</v>
      </c>
      <c r="Q3817" t="n">
        <v>-80</v>
      </c>
      <c r="R3817" t="n">
        <v>0.09106</v>
      </c>
      <c r="S3817">
        <f>IMAGE("https://mitra.stanford.edu/kundaje/oak/projects/neuro-variants/variant_position/credible/roussos_2024/variant_figures/roussos_2024.infant.GLU/rs10954356_count_position.png",4,220,900)</f>
        <v/>
      </c>
      <c r="T3817">
        <f>IMAGE("https://mitra.stanford.edu/kundaje/oak/projects/neuro-variants/variant_position/credible/roussos_2024/variant_figures/roussos_2024.infant.GLU/rs10954356_profile_position.png",4,220,900)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-0.2447190139999999</v>
      </c>
      <c r="G3818" t="n">
        <v>0.0057064575258386</v>
      </c>
      <c r="H3818" t="n">
        <v>0.0593493217400877</v>
      </c>
      <c r="I3818" t="n">
        <v>0.0033499911158592</v>
      </c>
      <c r="J3818" t="n">
        <v>0.5782116007848497</v>
      </c>
      <c r="K3818" t="n">
        <v>0.0229070710883336</v>
      </c>
      <c r="L3818" t="b">
        <v>1</v>
      </c>
      <c r="M3818" t="b">
        <v>1</v>
      </c>
      <c r="N3818" t="inlineStr">
        <is>
          <t>ref</t>
        </is>
      </c>
      <c r="O3818" t="n">
        <v>-5</v>
      </c>
      <c r="P3818" t="n">
        <v>0.002502</v>
      </c>
      <c r="Q3818" t="n">
        <v>85</v>
      </c>
      <c r="R3818" t="n">
        <v>0.042</v>
      </c>
      <c r="S3818">
        <f>IMAGE("https://mitra.stanford.edu/kundaje/oak/projects/neuro-variants/variant_position/credible/roussos_2024/variant_figures/roussos_2024.infant.GLU/rs2122635_count_position.png",4,220,900)</f>
        <v/>
      </c>
      <c r="T3818">
        <f>IMAGE("https://mitra.stanford.edu/kundaje/oak/projects/neuro-variants/variant_position/credible/roussos_2024/variant_figures/roussos_2024.infant.GLU/rs2122635_profile_position.png",4,220,900)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-0.0386901424</v>
      </c>
      <c r="G3819" t="n">
        <v>0.2227901754878525</v>
      </c>
      <c r="H3819" t="n">
        <v>0.0222817473819392</v>
      </c>
      <c r="I3819" t="n">
        <v>0.1404633260744541</v>
      </c>
      <c r="J3819" t="n">
        <v>0.07704645164135</v>
      </c>
      <c r="K3819" t="n">
        <v>0.2614234621787801</v>
      </c>
      <c r="L3819" t="b">
        <v>0</v>
      </c>
      <c r="M3819" t="b">
        <v>0</v>
      </c>
      <c r="N3819" t="inlineStr">
        <is>
          <t>ref</t>
        </is>
      </c>
      <c r="O3819" t="n">
        <v>95</v>
      </c>
      <c r="P3819" t="n">
        <v>0.01194</v>
      </c>
      <c r="Q3819" t="n">
        <v>-50</v>
      </c>
      <c r="R3819" t="n">
        <v>0.09143</v>
      </c>
      <c r="S3819">
        <f>IMAGE("https://mitra.stanford.edu/kundaje/oak/projects/neuro-variants/variant_position/credible/roussos_2024/variant_figures/roussos_2024.infant.GLU/rs11771579_count_position.png",4,220,900)</f>
        <v/>
      </c>
      <c r="T3819">
        <f>IMAGE("https://mitra.stanford.edu/kundaje/oak/projects/neuro-variants/variant_position/credible/roussos_2024/variant_figures/roussos_2024.infant.GLU/rs11771579_profile_position.png",4,220,900)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0.0536036406</v>
      </c>
      <c r="G3820" t="n">
        <v>0.1477803855050199</v>
      </c>
      <c r="H3820" t="n">
        <v>0.0097710940984524</v>
      </c>
      <c r="I3820" t="n">
        <v>0.7464910544554084</v>
      </c>
      <c r="J3820" t="n">
        <v>0.0266507198130469</v>
      </c>
      <c r="K3820" t="n">
        <v>0.4766778139975177</v>
      </c>
      <c r="L3820" t="b">
        <v>0</v>
      </c>
      <c r="M3820" t="b">
        <v>0</v>
      </c>
      <c r="N3820" t="inlineStr">
        <is>
          <t>alt</t>
        </is>
      </c>
      <c r="O3820" t="n">
        <v>60</v>
      </c>
      <c r="P3820" t="n">
        <v>0.001104</v>
      </c>
      <c r="Q3820" t="n">
        <v>-100</v>
      </c>
      <c r="R3820" t="n">
        <v>0.0541</v>
      </c>
      <c r="S3820">
        <f>IMAGE("https://mitra.stanford.edu/kundaje/oak/projects/neuro-variants/variant_position/credible/roussos_2024/variant_figures/roussos_2024.infant.GLU/rs4518583_count_position.png",4,220,900)</f>
        <v/>
      </c>
      <c r="T3820">
        <f>IMAGE("https://mitra.stanford.edu/kundaje/oak/projects/neuro-variants/variant_position/credible/roussos_2024/variant_figures/roussos_2024.infant.GLU/rs4518583_profile_position.png",4,220,900)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-0.01199588412</v>
      </c>
      <c r="G3821" t="n">
        <v>0.615915837368097</v>
      </c>
      <c r="H3821" t="n">
        <v>0.030229355619795</v>
      </c>
      <c r="I3821" t="n">
        <v>0.0564823520352348</v>
      </c>
      <c r="J3821" t="n">
        <v>0.1266430035935536</v>
      </c>
      <c r="K3821" t="n">
        <v>0.1668658644307891</v>
      </c>
      <c r="L3821" t="b">
        <v>0</v>
      </c>
      <c r="M3821" t="b">
        <v>0</v>
      </c>
      <c r="N3821" t="inlineStr">
        <is>
          <t>ref</t>
        </is>
      </c>
      <c r="O3821" t="n">
        <v>95</v>
      </c>
      <c r="P3821" t="n">
        <v>0.008545000000000001</v>
      </c>
      <c r="Q3821" t="n">
        <v>-100</v>
      </c>
      <c r="R3821" t="n">
        <v>0.052</v>
      </c>
      <c r="S3821">
        <f>IMAGE("https://mitra.stanford.edu/kundaje/oak/projects/neuro-variants/variant_position/credible/roussos_2024/variant_figures/roussos_2024.infant.GLU/rs728055_count_position.png",4,220,900)</f>
        <v/>
      </c>
      <c r="T3821">
        <f>IMAGE("https://mitra.stanford.edu/kundaje/oak/projects/neuro-variants/variant_position/credible/roussos_2024/variant_figures/roussos_2024.infant.GLU/rs728055_profile_position.png",4,220,900)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0.1903166639999999</v>
      </c>
      <c r="G3822" t="n">
        <v>0.0114404214689234</v>
      </c>
      <c r="H3822" t="n">
        <v>0.0284195724191563</v>
      </c>
      <c r="I3822" t="n">
        <v>0.0697550017662108</v>
      </c>
      <c r="J3822" t="n">
        <v>0.3266727661544566</v>
      </c>
      <c r="K3822" t="n">
        <v>0.0601395281905398</v>
      </c>
      <c r="L3822" t="b">
        <v>1</v>
      </c>
      <c r="M3822" t="b">
        <v>0</v>
      </c>
      <c r="N3822" t="inlineStr">
        <is>
          <t>alt</t>
        </is>
      </c>
      <c r="O3822" t="n">
        <v>-100</v>
      </c>
      <c r="P3822" t="n">
        <v>0.00842</v>
      </c>
      <c r="Q3822" t="n">
        <v>65</v>
      </c>
      <c r="R3822" t="n">
        <v>0.08840000000000001</v>
      </c>
      <c r="S3822">
        <f>IMAGE("https://mitra.stanford.edu/kundaje/oak/projects/neuro-variants/variant_position/credible/roussos_2024/variant_figures/roussos_2024.infant.GLU/rs2278829_count_position.png",4,220,900)</f>
        <v/>
      </c>
      <c r="T3822">
        <f>IMAGE("https://mitra.stanford.edu/kundaje/oak/projects/neuro-variants/variant_position/credible/roussos_2024/variant_figures/roussos_2024.infant.GLU/rs2278829_profile_position.png",4,220,900)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-0.03571700224</v>
      </c>
      <c r="G3823" t="n">
        <v>0.2584523810694731</v>
      </c>
      <c r="H3823" t="n">
        <v>0.0299869652141868</v>
      </c>
      <c r="I3823" t="n">
        <v>0.0639723674084076</v>
      </c>
      <c r="J3823" t="n">
        <v>0.3024603717013161</v>
      </c>
      <c r="K3823" t="n">
        <v>0.0667041613126131</v>
      </c>
      <c r="L3823" t="b">
        <v>0</v>
      </c>
      <c r="M3823" t="b">
        <v>0</v>
      </c>
      <c r="N3823" t="inlineStr">
        <is>
          <t>ref</t>
        </is>
      </c>
      <c r="O3823" t="n">
        <v>-100</v>
      </c>
      <c r="P3823" t="n">
        <v>0.01897</v>
      </c>
      <c r="Q3823" t="n">
        <v>-95</v>
      </c>
      <c r="R3823" t="n">
        <v>0.1284</v>
      </c>
      <c r="S3823">
        <f>IMAGE("https://mitra.stanford.edu/kundaje/oak/projects/neuro-variants/variant_position/credible/roussos_2024/variant_figures/roussos_2024.infant.GLU/rs7779548_count_position.png",4,220,900)</f>
        <v/>
      </c>
      <c r="T3823">
        <f>IMAGE("https://mitra.stanford.edu/kundaje/oak/projects/neuro-variants/variant_position/credible/roussos_2024/variant_figures/roussos_2024.infant.GLU/rs7779548_profile_position.png",4,220,900)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0.0150919194</v>
      </c>
      <c r="G3824" t="n">
        <v>0.5137060043653754</v>
      </c>
      <c r="H3824" t="n">
        <v>0.0382492566672483</v>
      </c>
      <c r="I3824" t="n">
        <v>0.0240842439193758</v>
      </c>
      <c r="J3824" t="n">
        <v>0.0050353843779624</v>
      </c>
      <c r="K3824" t="n">
        <v>0.7550112662921952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0.01584</v>
      </c>
      <c r="Q3824" t="n">
        <v>70</v>
      </c>
      <c r="R3824" t="n">
        <v>0.0432</v>
      </c>
      <c r="S3824">
        <f>IMAGE("https://mitra.stanford.edu/kundaje/oak/projects/neuro-variants/variant_position/credible/roussos_2024/variant_figures/roussos_2024.infant.GLU/rs11766321_count_position.png",4,220,900)</f>
        <v/>
      </c>
      <c r="T3824">
        <f>IMAGE("https://mitra.stanford.edu/kundaje/oak/projects/neuro-variants/variant_position/credible/roussos_2024/variant_figures/roussos_2024.infant.GLU/rs11766321_profile_position.png",4,220,900)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0.004144578396</v>
      </c>
      <c r="G3825" t="n">
        <v>0.8201794218898497</v>
      </c>
      <c r="H3825" t="n">
        <v>0.0061627477413686</v>
      </c>
      <c r="I3825" t="n">
        <v>0.981100885375069</v>
      </c>
      <c r="J3825" t="n">
        <v>0.012039507043806</v>
      </c>
      <c r="K3825" t="n">
        <v>0.6341963362412685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0.1754</v>
      </c>
      <c r="Q3825" t="n">
        <v>-100</v>
      </c>
      <c r="R3825" t="n">
        <v>0.1628</v>
      </c>
      <c r="S3825">
        <f>IMAGE("https://mitra.stanford.edu/kundaje/oak/projects/neuro-variants/variant_position/credible/roussos_2024/variant_figures/roussos_2024.infant.GLU/rs13222414_count_position.png",4,220,900)</f>
        <v/>
      </c>
      <c r="T3825">
        <f>IMAGE("https://mitra.stanford.edu/kundaje/oak/projects/neuro-variants/variant_position/credible/roussos_2024/variant_figures/roussos_2024.infant.GLU/rs13222414_profile_position.png",4,220,900)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0.07783765199999999</v>
      </c>
      <c r="G3826" t="n">
        <v>0.07823248252815029</v>
      </c>
      <c r="H3826" t="n">
        <v>0.0127657848151177</v>
      </c>
      <c r="I3826" t="n">
        <v>0.4983512541061919</v>
      </c>
      <c r="J3826" t="n">
        <v>0.0321755329703035</v>
      </c>
      <c r="K3826" t="n">
        <v>0.4371089086439797</v>
      </c>
      <c r="L3826" t="b">
        <v>0</v>
      </c>
      <c r="M3826" t="b">
        <v>0</v>
      </c>
      <c r="N3826" t="inlineStr">
        <is>
          <t>alt</t>
        </is>
      </c>
      <c r="O3826" t="n">
        <v>55</v>
      </c>
      <c r="P3826" t="n">
        <v>0.00433</v>
      </c>
      <c r="Q3826" t="n">
        <v>-45</v>
      </c>
      <c r="R3826" t="n">
        <v>0.03494</v>
      </c>
      <c r="S3826">
        <f>IMAGE("https://mitra.stanford.edu/kundaje/oak/projects/neuro-variants/variant_position/credible/roussos_2024/variant_figures/roussos_2024.infant.GLU/rs17530005_count_position.png",4,220,900)</f>
        <v/>
      </c>
      <c r="T3826">
        <f>IMAGE("https://mitra.stanford.edu/kundaje/oak/projects/neuro-variants/variant_position/credible/roussos_2024/variant_figures/roussos_2024.infant.GLU/rs17530005_profile_position.png",4,220,900)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-0.0232433362</v>
      </c>
      <c r="G3827" t="n">
        <v>0.403764129295227</v>
      </c>
      <c r="H3827" t="n">
        <v>0.009154130127689101</v>
      </c>
      <c r="I3827" t="n">
        <v>0.8103211155333816</v>
      </c>
      <c r="J3827" t="n">
        <v>0.0124517736281663</v>
      </c>
      <c r="K3827" t="n">
        <v>0.619894637931962</v>
      </c>
      <c r="L3827" t="b">
        <v>0</v>
      </c>
      <c r="M3827" t="b">
        <v>0</v>
      </c>
      <c r="N3827" t="inlineStr">
        <is>
          <t>ref</t>
        </is>
      </c>
      <c r="O3827" t="n">
        <v>95</v>
      </c>
      <c r="P3827" t="n">
        <v>0.06444999999999999</v>
      </c>
      <c r="Q3827" t="n">
        <v>100</v>
      </c>
      <c r="R3827" t="n">
        <v>0.2544</v>
      </c>
      <c r="S3827">
        <f>IMAGE("https://mitra.stanford.edu/kundaje/oak/projects/neuro-variants/variant_position/credible/roussos_2024/variant_figures/roussos_2024.infant.GLU/rs7801613_count_position.png",4,220,900)</f>
        <v/>
      </c>
      <c r="T3827">
        <f>IMAGE("https://mitra.stanford.edu/kundaje/oak/projects/neuro-variants/variant_position/credible/roussos_2024/variant_figures/roussos_2024.infant.GLU/rs7801613_profile_position.png",4,220,900)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0.0170668049</v>
      </c>
      <c r="G3828" t="n">
        <v>0.4947009105011136</v>
      </c>
      <c r="H3828" t="n">
        <v>0.0269903424609051</v>
      </c>
      <c r="I3828" t="n">
        <v>0.0804227590766949</v>
      </c>
      <c r="J3828" t="n">
        <v>0.044092682819286</v>
      </c>
      <c r="K3828" t="n">
        <v>0.3649715420511841</v>
      </c>
      <c r="L3828" t="b">
        <v>0</v>
      </c>
      <c r="M3828" t="b">
        <v>0</v>
      </c>
      <c r="N3828" t="inlineStr">
        <is>
          <t>alt</t>
        </is>
      </c>
      <c r="O3828" t="n">
        <v>-85</v>
      </c>
      <c r="P3828" t="n">
        <v>0.008789999999999999</v>
      </c>
      <c r="Q3828" t="n">
        <v>-85</v>
      </c>
      <c r="R3828" t="n">
        <v>0.1465</v>
      </c>
      <c r="S3828">
        <f>IMAGE("https://mitra.stanford.edu/kundaje/oak/projects/neuro-variants/variant_position/credible/roussos_2024/variant_figures/roussos_2024.infant.GLU/rs6942519_count_position.png",4,220,900)</f>
        <v/>
      </c>
      <c r="T3828">
        <f>IMAGE("https://mitra.stanford.edu/kundaje/oak/projects/neuro-variants/variant_position/credible/roussos_2024/variant_figures/roussos_2024.infant.GLU/rs6942519_profile_position.png",4,220,900)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0.0405367838</v>
      </c>
      <c r="G3829" t="n">
        <v>0.2188103973689726</v>
      </c>
      <c r="H3829" t="n">
        <v>0.0478209939310785</v>
      </c>
      <c r="I3829" t="n">
        <v>0.0093652805706376</v>
      </c>
      <c r="J3829" t="n">
        <v>0.0429176128221521</v>
      </c>
      <c r="K3829" t="n">
        <v>0.3750720584930284</v>
      </c>
      <c r="L3829" t="b">
        <v>1</v>
      </c>
      <c r="M3829" t="b">
        <v>0</v>
      </c>
      <c r="N3829" t="inlineStr">
        <is>
          <t>alt</t>
        </is>
      </c>
      <c r="O3829" t="n">
        <v>-90</v>
      </c>
      <c r="P3829" t="n">
        <v>0.0614</v>
      </c>
      <c r="Q3829" t="n">
        <v>-100</v>
      </c>
      <c r="R3829" t="n">
        <v>0.1006</v>
      </c>
      <c r="S3829">
        <f>IMAGE("https://mitra.stanford.edu/kundaje/oak/projects/neuro-variants/variant_position/credible/roussos_2024/variant_figures/roussos_2024.infant.GLU/rs2355784_count_position.png",4,220,900)</f>
        <v/>
      </c>
      <c r="T3829">
        <f>IMAGE("https://mitra.stanford.edu/kundaje/oak/projects/neuro-variants/variant_position/credible/roussos_2024/variant_figures/roussos_2024.infant.GLU/rs2355784_profile_position.png",4,220,900)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-0.0261453639999999</v>
      </c>
      <c r="G3830" t="n">
        <v>0.3643944887023543</v>
      </c>
      <c r="H3830" t="n">
        <v>0.0502666809766776</v>
      </c>
      <c r="I3830" t="n">
        <v>0.007358155401944</v>
      </c>
      <c r="J3830" t="n">
        <v>0.0066613020569236</v>
      </c>
      <c r="K3830" t="n">
        <v>0.7176099446012533</v>
      </c>
      <c r="L3830" t="b">
        <v>0</v>
      </c>
      <c r="M3830" t="b">
        <v>0</v>
      </c>
      <c r="N3830" t="inlineStr">
        <is>
          <t>ref</t>
        </is>
      </c>
      <c r="O3830" t="n">
        <v>-25</v>
      </c>
      <c r="P3830" t="n">
        <v>0.00296</v>
      </c>
      <c r="Q3830" t="n">
        <v>100</v>
      </c>
      <c r="R3830" t="n">
        <v>0.06850000000000001</v>
      </c>
      <c r="S3830">
        <f>IMAGE("https://mitra.stanford.edu/kundaje/oak/projects/neuro-variants/variant_position/credible/roussos_2024/variant_figures/roussos_2024.infant.GLU/rs10230398_count_position.png",4,220,900)</f>
        <v/>
      </c>
      <c r="T3830">
        <f>IMAGE("https://mitra.stanford.edu/kundaje/oak/projects/neuro-variants/variant_position/credible/roussos_2024/variant_figures/roussos_2024.infant.GLU/rs10230398_profile_position.png",4,220,900)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-0.097985089</v>
      </c>
      <c r="G3831" t="n">
        <v>0.0533274999124291</v>
      </c>
      <c r="H3831" t="n">
        <v>0.0132896810301575</v>
      </c>
      <c r="I3831" t="n">
        <v>0.460843290144064</v>
      </c>
      <c r="J3831" t="n">
        <v>0.0321512819947529</v>
      </c>
      <c r="K3831" t="n">
        <v>0.4358189586224811</v>
      </c>
      <c r="L3831" t="b">
        <v>0</v>
      </c>
      <c r="M3831" t="b">
        <v>0</v>
      </c>
      <c r="N3831" t="inlineStr">
        <is>
          <t>ref</t>
        </is>
      </c>
      <c r="O3831" t="n">
        <v>-45</v>
      </c>
      <c r="P3831" t="n">
        <v>0.0927</v>
      </c>
      <c r="Q3831" t="n">
        <v>-45</v>
      </c>
      <c r="R3831" t="n">
        <v>0.0825</v>
      </c>
      <c r="S3831">
        <f>IMAGE("https://mitra.stanford.edu/kundaje/oak/projects/neuro-variants/variant_position/credible/roussos_2024/variant_figures/roussos_2024.infant.GLU/rs801089_count_position.png",4,220,900)</f>
        <v/>
      </c>
      <c r="T3831">
        <f>IMAGE("https://mitra.stanford.edu/kundaje/oak/projects/neuro-variants/variant_position/credible/roussos_2024/variant_figures/roussos_2024.infant.GLU/rs801089_profile_position.png",4,220,900)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0.105061755</v>
      </c>
      <c r="G3832" t="n">
        <v>0.0473555068340939</v>
      </c>
      <c r="H3832" t="n">
        <v>0.0293316289361916</v>
      </c>
      <c r="I3832" t="n">
        <v>0.0628129323279432</v>
      </c>
      <c r="J3832" t="n">
        <v>0.0186699442227561</v>
      </c>
      <c r="K3832" t="n">
        <v>0.5507312075383174</v>
      </c>
      <c r="L3832" t="b">
        <v>0</v>
      </c>
      <c r="M3832" t="b">
        <v>0</v>
      </c>
      <c r="N3832" t="inlineStr">
        <is>
          <t>alt</t>
        </is>
      </c>
      <c r="O3832" t="n">
        <v>95</v>
      </c>
      <c r="P3832" t="n">
        <v>0.04587</v>
      </c>
      <c r="Q3832" t="n">
        <v>15</v>
      </c>
      <c r="R3832" t="n">
        <v>0.03894</v>
      </c>
      <c r="S3832">
        <f>IMAGE("https://mitra.stanford.edu/kundaje/oak/projects/neuro-variants/variant_position/credible/roussos_2024/variant_figures/roussos_2024.infant.GLU/rs6662_count_position.png",4,220,900)</f>
        <v/>
      </c>
      <c r="T3832">
        <f>IMAGE("https://mitra.stanford.edu/kundaje/oak/projects/neuro-variants/variant_position/credible/roussos_2024/variant_figures/roussos_2024.infant.GLU/rs6662_profile_position.png",4,220,900)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0.024812848</v>
      </c>
      <c r="G3833" t="n">
        <v>0.3717030451020294</v>
      </c>
      <c r="H3833" t="n">
        <v>0.0111681837900968</v>
      </c>
      <c r="I3833" t="n">
        <v>0.6239832352717692</v>
      </c>
      <c r="J3833" t="n">
        <v>0.1449491831830507</v>
      </c>
      <c r="K3833" t="n">
        <v>0.1525703891013821</v>
      </c>
      <c r="L3833" t="b">
        <v>0</v>
      </c>
      <c r="M3833" t="b">
        <v>0</v>
      </c>
      <c r="N3833" t="inlineStr">
        <is>
          <t>alt</t>
        </is>
      </c>
      <c r="O3833" t="n">
        <v>-70</v>
      </c>
      <c r="P3833" t="n">
        <v>0.01529</v>
      </c>
      <c r="Q3833" t="n">
        <v>100</v>
      </c>
      <c r="R3833" t="n">
        <v>0.0654</v>
      </c>
      <c r="S3833">
        <f>IMAGE("https://mitra.stanford.edu/kundaje/oak/projects/neuro-variants/variant_position/credible/roussos_2024/variant_figures/roussos_2024.infant.GLU/rs246745_count_position.png",4,220,900)</f>
        <v/>
      </c>
      <c r="T3833">
        <f>IMAGE("https://mitra.stanford.edu/kundaje/oak/projects/neuro-variants/variant_position/credible/roussos_2024/variant_figures/roussos_2024.infant.GLU/rs246745_profile_position.png",4,220,900)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-0.04101299801</v>
      </c>
      <c r="G3834" t="n">
        <v>0.2838254963717957</v>
      </c>
      <c r="H3834" t="n">
        <v>0.0171787489888693</v>
      </c>
      <c r="I3834" t="n">
        <v>0.2767265469555618</v>
      </c>
      <c r="J3834" t="n">
        <v>0.08897462466103739</v>
      </c>
      <c r="K3834" t="n">
        <v>0.2300772707077351</v>
      </c>
      <c r="L3834" t="b">
        <v>0</v>
      </c>
      <c r="M3834" t="b">
        <v>0</v>
      </c>
      <c r="N3834" t="inlineStr">
        <is>
          <t>ref</t>
        </is>
      </c>
      <c r="O3834" t="n">
        <v>-25</v>
      </c>
      <c r="P3834" t="n">
        <v>0.02267</v>
      </c>
      <c r="Q3834" t="n">
        <v>-20</v>
      </c>
      <c r="R3834" t="n">
        <v>0.0398</v>
      </c>
      <c r="S3834">
        <f>IMAGE("https://mitra.stanford.edu/kundaje/oak/projects/neuro-variants/variant_position/credible/roussos_2024/variant_figures/roussos_2024.infant.GLU/rs1089258_count_position.png",4,220,900)</f>
        <v/>
      </c>
      <c r="T3834">
        <f>IMAGE("https://mitra.stanford.edu/kundaje/oak/projects/neuro-variants/variant_position/credible/roussos_2024/variant_figures/roussos_2024.infant.GLU/rs1089258_profile_position.png",4,220,900)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-0.107420883</v>
      </c>
      <c r="G3835" t="n">
        <v>0.0436771709174702</v>
      </c>
      <c r="H3835" t="n">
        <v>0.0190076459264872</v>
      </c>
      <c r="I3835" t="n">
        <v>0.2128596757170398</v>
      </c>
      <c r="J3835" t="n">
        <v>0.1480268524438369</v>
      </c>
      <c r="K3835" t="n">
        <v>0.1482921952106194</v>
      </c>
      <c r="L3835" t="b">
        <v>0</v>
      </c>
      <c r="M3835" t="b">
        <v>0</v>
      </c>
      <c r="N3835" t="inlineStr">
        <is>
          <t>ref</t>
        </is>
      </c>
      <c r="O3835" t="n">
        <v>-100</v>
      </c>
      <c r="P3835" t="n">
        <v>0.01387</v>
      </c>
      <c r="Q3835" t="n">
        <v>90</v>
      </c>
      <c r="R3835" t="n">
        <v>0.05148</v>
      </c>
      <c r="S3835">
        <f>IMAGE("https://mitra.stanford.edu/kundaje/oak/projects/neuro-variants/variant_position/credible/roussos_2024/variant_figures/roussos_2024.infant.GLU/rs10241251_count_position.png",4,220,900)</f>
        <v/>
      </c>
      <c r="T3835">
        <f>IMAGE("https://mitra.stanford.edu/kundaje/oak/projects/neuro-variants/variant_position/credible/roussos_2024/variant_figures/roussos_2024.infant.GLU/rs10241251_profile_position.png",4,220,900)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-0.03705028872</v>
      </c>
      <c r="G3836" t="n">
        <v>0.2336335439591526</v>
      </c>
      <c r="H3836" t="n">
        <v>0.0104059787274727</v>
      </c>
      <c r="I3836" t="n">
        <v>0.6948919690463896</v>
      </c>
      <c r="J3836" t="n">
        <v>0.1009909830463634</v>
      </c>
      <c r="K3836" t="n">
        <v>0.2061977800661957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0.001303</v>
      </c>
      <c r="Q3836" t="n">
        <v>-65</v>
      </c>
      <c r="R3836" t="n">
        <v>0.0727</v>
      </c>
      <c r="S3836">
        <f>IMAGE("https://mitra.stanford.edu/kundaje/oak/projects/neuro-variants/variant_position/credible/roussos_2024/variant_figures/roussos_2024.infant.GLU/rs10244667_count_position.png",4,220,900)</f>
        <v/>
      </c>
      <c r="T3836">
        <f>IMAGE("https://mitra.stanford.edu/kundaje/oak/projects/neuro-variants/variant_position/credible/roussos_2024/variant_figures/roussos_2024.infant.GLU/rs10244667_profile_position.png",4,220,900)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-0.0503986276</v>
      </c>
      <c r="G3837" t="n">
        <v>0.1750256139290835</v>
      </c>
      <c r="H3837" t="n">
        <v>0.0135494845736431</v>
      </c>
      <c r="I3837" t="n">
        <v>0.44030774784837</v>
      </c>
      <c r="J3837" t="n">
        <v>0.1237141471372825</v>
      </c>
      <c r="K3837" t="n">
        <v>0.1739384346178548</v>
      </c>
      <c r="L3837" t="b">
        <v>0</v>
      </c>
      <c r="M3837" t="b">
        <v>0</v>
      </c>
      <c r="N3837" t="inlineStr">
        <is>
          <t>ref</t>
        </is>
      </c>
      <c r="O3837" t="n">
        <v>100</v>
      </c>
      <c r="P3837" t="n">
        <v>0.01276</v>
      </c>
      <c r="Q3837" t="n">
        <v>100</v>
      </c>
      <c r="R3837" t="n">
        <v>0.2052</v>
      </c>
      <c r="S3837">
        <f>IMAGE("https://mitra.stanford.edu/kundaje/oak/projects/neuro-variants/variant_position/credible/roussos_2024/variant_figures/roussos_2024.infant.GLU/rs2366647_count_position.png",4,220,900)</f>
        <v/>
      </c>
      <c r="T3837">
        <f>IMAGE("https://mitra.stanford.edu/kundaje/oak/projects/neuro-variants/variant_position/credible/roussos_2024/variant_figures/roussos_2024.infant.GLU/rs2366647_profile_position.png",4,220,900)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-0.5325678780000001</v>
      </c>
      <c r="G3838" t="n">
        <v>0.0003854896476935</v>
      </c>
      <c r="H3838" t="n">
        <v>0.0647082165633896</v>
      </c>
      <c r="I3838" t="n">
        <v>0.0026497240903493</v>
      </c>
      <c r="J3838" t="n">
        <v>0.4341519874776781</v>
      </c>
      <c r="K3838" t="n">
        <v>0.0396036947857351</v>
      </c>
      <c r="L3838" t="b">
        <v>1</v>
      </c>
      <c r="M3838" t="b">
        <v>1</v>
      </c>
      <c r="N3838" t="inlineStr">
        <is>
          <t>ref</t>
        </is>
      </c>
      <c r="O3838" t="n">
        <v>-10</v>
      </c>
      <c r="P3838" t="n">
        <v>0.001038</v>
      </c>
      <c r="Q3838" t="n">
        <v>75</v>
      </c>
      <c r="R3838" t="n">
        <v>0.02295</v>
      </c>
      <c r="S3838">
        <f>IMAGE("https://mitra.stanford.edu/kundaje/oak/projects/neuro-variants/variant_position/credible/roussos_2024/variant_figures/roussos_2024.infant.GLU/rs13261217_count_position.png",4,220,900)</f>
        <v/>
      </c>
      <c r="T3838">
        <f>IMAGE("https://mitra.stanford.edu/kundaje/oak/projects/neuro-variants/variant_position/credible/roussos_2024/variant_figures/roussos_2024.infant.GLU/rs13261217_profile_position.png",4,220,900)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0.0549857208</v>
      </c>
      <c r="G3839" t="n">
        <v>0.1400316892590984</v>
      </c>
      <c r="H3839" t="n">
        <v>0.0105029739261441</v>
      </c>
      <c r="I3839" t="n">
        <v>0.6922446560639249</v>
      </c>
      <c r="J3839" t="n">
        <v>0.0689058400758393</v>
      </c>
      <c r="K3839" t="n">
        <v>0.2751420925903575</v>
      </c>
      <c r="L3839" t="b">
        <v>0</v>
      </c>
      <c r="M3839" t="b">
        <v>0</v>
      </c>
      <c r="N3839" t="inlineStr">
        <is>
          <t>alt</t>
        </is>
      </c>
      <c r="O3839" t="n">
        <v>-100</v>
      </c>
      <c r="P3839" t="n">
        <v>0.03693</v>
      </c>
      <c r="Q3839" t="n">
        <v>90</v>
      </c>
      <c r="R3839" t="n">
        <v>0.1567</v>
      </c>
      <c r="S3839">
        <f>IMAGE("https://mitra.stanford.edu/kundaje/oak/projects/neuro-variants/variant_position/credible/roussos_2024/variant_figures/roussos_2024.infant.GLU/rs7813162_count_position.png",4,220,900)</f>
        <v/>
      </c>
      <c r="T3839">
        <f>IMAGE("https://mitra.stanford.edu/kundaje/oak/projects/neuro-variants/variant_position/credible/roussos_2024/variant_figures/roussos_2024.infant.GLU/rs7813162_profile_position.png",4,220,900)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0.164437656</v>
      </c>
      <c r="G3840" t="n">
        <v>0.0167624921560065</v>
      </c>
      <c r="H3840" t="n">
        <v>0.0227386960215684</v>
      </c>
      <c r="I3840" t="n">
        <v>0.1335019049910652</v>
      </c>
      <c r="J3840" t="n">
        <v>0.1881644216142331</v>
      </c>
      <c r="K3840" t="n">
        <v>0.1221661124974187</v>
      </c>
      <c r="L3840" t="b">
        <v>1</v>
      </c>
      <c r="M3840" t="b">
        <v>0</v>
      </c>
      <c r="N3840" t="inlineStr">
        <is>
          <t>alt</t>
        </is>
      </c>
      <c r="O3840" t="n">
        <v>-100</v>
      </c>
      <c r="P3840" t="n">
        <v>0.003067</v>
      </c>
      <c r="Q3840" t="n">
        <v>-15</v>
      </c>
      <c r="R3840" t="n">
        <v>0.007324</v>
      </c>
      <c r="S3840">
        <f>IMAGE("https://mitra.stanford.edu/kundaje/oak/projects/neuro-variants/variant_position/credible/roussos_2024/variant_figures/roussos_2024.infant.GLU/rs1230767_count_position.png",4,220,900)</f>
        <v/>
      </c>
      <c r="T3840">
        <f>IMAGE("https://mitra.stanford.edu/kundaje/oak/projects/neuro-variants/variant_position/credible/roussos_2024/variant_figures/roussos_2024.infant.GLU/rs1230767_profile_position.png",4,220,900)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-0.0224223202</v>
      </c>
      <c r="G3841" t="n">
        <v>0.41535965661161</v>
      </c>
      <c r="H3841" t="n">
        <v>0.0092439783185951</v>
      </c>
      <c r="I3841" t="n">
        <v>0.7906040172414284</v>
      </c>
      <c r="J3841" t="n">
        <v>0.008303754491941999</v>
      </c>
      <c r="K3841" t="n">
        <v>0.7127603104852351</v>
      </c>
      <c r="L3841" t="b">
        <v>0</v>
      </c>
      <c r="M3841" t="b">
        <v>0</v>
      </c>
      <c r="N3841" t="inlineStr">
        <is>
          <t>ref</t>
        </is>
      </c>
      <c r="O3841" t="n">
        <v>-100</v>
      </c>
      <c r="P3841" t="n">
        <v>0.0117</v>
      </c>
      <c r="Q3841" t="n">
        <v>100</v>
      </c>
      <c r="R3841" t="n">
        <v>0.05063</v>
      </c>
      <c r="S3841">
        <f>IMAGE("https://mitra.stanford.edu/kundaje/oak/projects/neuro-variants/variant_position/credible/roussos_2024/variant_figures/roussos_2024.infant.GLU/rs12679687_count_position.png",4,220,900)</f>
        <v/>
      </c>
      <c r="T3841">
        <f>IMAGE("https://mitra.stanford.edu/kundaje/oak/projects/neuro-variants/variant_position/credible/roussos_2024/variant_figures/roussos_2024.infant.GLU/rs12679687_profile_position.png",4,220,900)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0.017507173</v>
      </c>
      <c r="G3842" t="n">
        <v>0.4700745131242284</v>
      </c>
      <c r="H3842" t="n">
        <v>0.0369857624787112</v>
      </c>
      <c r="I3842" t="n">
        <v>0.0278674864469866</v>
      </c>
      <c r="J3842" t="n">
        <v>0.1873751625917678</v>
      </c>
      <c r="K3842" t="n">
        <v>0.1170637108409238</v>
      </c>
      <c r="L3842" t="b">
        <v>0</v>
      </c>
      <c r="M3842" t="b">
        <v>0</v>
      </c>
      <c r="N3842" t="inlineStr">
        <is>
          <t>alt</t>
        </is>
      </c>
      <c r="O3842" t="n">
        <v>-85</v>
      </c>
      <c r="P3842" t="n">
        <v>0.0394</v>
      </c>
      <c r="Q3842" t="n">
        <v>90</v>
      </c>
      <c r="R3842" t="n">
        <v>0.0766</v>
      </c>
      <c r="S3842">
        <f>IMAGE("https://mitra.stanford.edu/kundaje/oak/projects/neuro-variants/variant_position/credible/roussos_2024/variant_figures/roussos_2024.infant.GLU/rs2952245_count_position.png",4,220,900)</f>
        <v/>
      </c>
      <c r="T3842">
        <f>IMAGE("https://mitra.stanford.edu/kundaje/oak/projects/neuro-variants/variant_position/credible/roussos_2024/variant_figures/roussos_2024.infant.GLU/rs2952245_profile_position.png",4,220,900)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-0.0055028263999999</v>
      </c>
      <c r="G3843" t="n">
        <v>0.6720340730626858</v>
      </c>
      <c r="H3843" t="n">
        <v>0.0183368765931137</v>
      </c>
      <c r="I3843" t="n">
        <v>0.2334985948053474</v>
      </c>
      <c r="J3843" t="n">
        <v>0.565596684230252</v>
      </c>
      <c r="K3843" t="n">
        <v>0.0240972739682336</v>
      </c>
      <c r="L3843" t="b">
        <v>0</v>
      </c>
      <c r="M3843" t="b">
        <v>0</v>
      </c>
      <c r="N3843" t="inlineStr">
        <is>
          <t>ref</t>
        </is>
      </c>
      <c r="O3843" t="n">
        <v>100</v>
      </c>
      <c r="P3843" t="n">
        <v>0.02657</v>
      </c>
      <c r="Q3843" t="n">
        <v>-65</v>
      </c>
      <c r="R3843" t="n">
        <v>0.04434</v>
      </c>
      <c r="S3843">
        <f>IMAGE("https://mitra.stanford.edu/kundaje/oak/projects/neuro-variants/variant_position/credible/roussos_2024/variant_figures/roussos_2024.infant.GLU/rs11250001_count_position.png",4,220,900)</f>
        <v/>
      </c>
      <c r="T3843">
        <f>IMAGE("https://mitra.stanford.edu/kundaje/oak/projects/neuro-variants/variant_position/credible/roussos_2024/variant_figures/roussos_2024.infant.GLU/rs11250001_profile_position.png",4,220,900)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0.0251454332</v>
      </c>
      <c r="G3844" t="n">
        <v>0.3665717660389861</v>
      </c>
      <c r="H3844" t="n">
        <v>0.0159979642340943</v>
      </c>
      <c r="I3844" t="n">
        <v>0.3117188582305414</v>
      </c>
      <c r="J3844" t="n">
        <v>0.0485945457351352</v>
      </c>
      <c r="K3844" t="n">
        <v>0.344802227877572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0.005928</v>
      </c>
      <c r="Q3844" t="n">
        <v>-45</v>
      </c>
      <c r="R3844" t="n">
        <v>0.07525999999999999</v>
      </c>
      <c r="S3844">
        <f>IMAGE("https://mitra.stanford.edu/kundaje/oak/projects/neuro-variants/variant_position/credible/roussos_2024/variant_figures/roussos_2024.infant.GLU/rs35388602_count_position.png",4,220,900)</f>
        <v/>
      </c>
      <c r="T3844">
        <f>IMAGE("https://mitra.stanford.edu/kundaje/oak/projects/neuro-variants/variant_position/credible/roussos_2024/variant_figures/roussos_2024.infant.GLU/rs35388602_profile_position.png",4,220,900)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-0.0328344034</v>
      </c>
      <c r="G3845" t="n">
        <v>0.2967690631834309</v>
      </c>
      <c r="H3845" t="n">
        <v>0.0269989414130967</v>
      </c>
      <c r="I3845" t="n">
        <v>0.0801021707739739</v>
      </c>
      <c r="J3845" t="n">
        <v>0.1632796137480985</v>
      </c>
      <c r="K3845" t="n">
        <v>0.1323286939872802</v>
      </c>
      <c r="L3845" t="b">
        <v>0</v>
      </c>
      <c r="M3845" t="b">
        <v>0</v>
      </c>
      <c r="N3845" t="inlineStr">
        <is>
          <t>ref</t>
        </is>
      </c>
      <c r="O3845" t="n">
        <v>40</v>
      </c>
      <c r="P3845" t="n">
        <v>0.0089</v>
      </c>
      <c r="Q3845" t="n">
        <v>-100</v>
      </c>
      <c r="R3845" t="n">
        <v>0.03192</v>
      </c>
      <c r="S3845">
        <f>IMAGE("https://mitra.stanford.edu/kundaje/oak/projects/neuro-variants/variant_position/credible/roussos_2024/variant_figures/roussos_2024.infant.GLU/rs7839817_count_position.png",4,220,900)</f>
        <v/>
      </c>
      <c r="T3845">
        <f>IMAGE("https://mitra.stanford.edu/kundaje/oak/projects/neuro-variants/variant_position/credible/roussos_2024/variant_figures/roussos_2024.infant.GLU/rs7839817_profile_position.png",4,220,900)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0.142987542</v>
      </c>
      <c r="G3846" t="n">
        <v>0.0229689437665046</v>
      </c>
      <c r="H3846" t="n">
        <v>0.0292371342685221</v>
      </c>
      <c r="I3846" t="n">
        <v>0.0624602300852227</v>
      </c>
      <c r="J3846" t="n">
        <v>0.0427533675786502</v>
      </c>
      <c r="K3846" t="n">
        <v>0.398821814379086</v>
      </c>
      <c r="L3846" t="b">
        <v>0</v>
      </c>
      <c r="M3846" t="b">
        <v>0</v>
      </c>
      <c r="N3846" t="inlineStr">
        <is>
          <t>alt</t>
        </is>
      </c>
      <c r="O3846" t="n">
        <v>90</v>
      </c>
      <c r="P3846" t="n">
        <v>0.0304</v>
      </c>
      <c r="Q3846" t="n">
        <v>5</v>
      </c>
      <c r="R3846" t="n">
        <v>0.03198</v>
      </c>
      <c r="S3846">
        <f>IMAGE("https://mitra.stanford.edu/kundaje/oak/projects/neuro-variants/variant_position/credible/roussos_2024/variant_figures/roussos_2024.infant.GLU/rs5012670_count_position.png",4,220,900)</f>
        <v/>
      </c>
      <c r="T3846">
        <f>IMAGE("https://mitra.stanford.edu/kundaje/oak/projects/neuro-variants/variant_position/credible/roussos_2024/variant_figures/roussos_2024.infant.GLU/rs5012670_profile_position.png",4,220,900)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0.0896651958</v>
      </c>
      <c r="G3847" t="n">
        <v>0.0606912399211401</v>
      </c>
      <c r="H3847" t="n">
        <v>0.0207256358481278</v>
      </c>
      <c r="I3847" t="n">
        <v>0.1677002283676322</v>
      </c>
      <c r="J3847" t="n">
        <v>0.2216781675081019</v>
      </c>
      <c r="K3847" t="n">
        <v>0.0975505578868272</v>
      </c>
      <c r="L3847" t="b">
        <v>0</v>
      </c>
      <c r="M3847" t="b">
        <v>0</v>
      </c>
      <c r="N3847" t="inlineStr">
        <is>
          <t>alt</t>
        </is>
      </c>
      <c r="O3847" t="n">
        <v>-90</v>
      </c>
      <c r="P3847" t="n">
        <v>0.03061</v>
      </c>
      <c r="Q3847" t="n">
        <v>100</v>
      </c>
      <c r="R3847" t="n">
        <v>0.06396</v>
      </c>
      <c r="S3847">
        <f>IMAGE("https://mitra.stanford.edu/kundaje/oak/projects/neuro-variants/variant_position/credible/roussos_2024/variant_figures/roussos_2024.infant.GLU/rs13267233_count_position.png",4,220,900)</f>
        <v/>
      </c>
      <c r="T3847">
        <f>IMAGE("https://mitra.stanford.edu/kundaje/oak/projects/neuro-variants/variant_position/credible/roussos_2024/variant_figures/roussos_2024.infant.GLU/rs13267233_profile_position.png",4,220,900)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-0.285994486</v>
      </c>
      <c r="G3848" t="n">
        <v>0.0035636730195372</v>
      </c>
      <c r="H3848" t="n">
        <v>0.0448106668453623</v>
      </c>
      <c r="I3848" t="n">
        <v>0.0124688809903569</v>
      </c>
      <c r="J3848" t="n">
        <v>0.1648735642320156</v>
      </c>
      <c r="K3848" t="n">
        <v>0.1329142530100309</v>
      </c>
      <c r="L3848" t="b">
        <v>1</v>
      </c>
      <c r="M3848" t="b">
        <v>1</v>
      </c>
      <c r="N3848" t="inlineStr">
        <is>
          <t>ref</t>
        </is>
      </c>
      <c r="O3848" t="n">
        <v>-95</v>
      </c>
      <c r="P3848" t="n">
        <v>0.007860000000000001</v>
      </c>
      <c r="Q3848" t="n">
        <v>-85</v>
      </c>
      <c r="R3848" t="n">
        <v>0.01855</v>
      </c>
      <c r="S3848">
        <f>IMAGE("https://mitra.stanford.edu/kundaje/oak/projects/neuro-variants/variant_position/credible/roussos_2024/variant_figures/roussos_2024.infant.GLU/rs13267570_count_position.png",4,220,900)</f>
        <v/>
      </c>
      <c r="T3848">
        <f>IMAGE("https://mitra.stanford.edu/kundaje/oak/projects/neuro-variants/variant_position/credible/roussos_2024/variant_figures/roussos_2024.infant.GLU/rs13267570_profile_position.png",4,220,900)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0.0260103672799999</v>
      </c>
      <c r="G3849" t="n">
        <v>0.2697866103554985</v>
      </c>
      <c r="H3849" t="n">
        <v>0.0182694902151214</v>
      </c>
      <c r="I3849" t="n">
        <v>0.2303145232119655</v>
      </c>
      <c r="J3849" t="n">
        <v>0.4330849445534513</v>
      </c>
      <c r="K3849" t="n">
        <v>0.0395715972288647</v>
      </c>
      <c r="L3849" t="b">
        <v>0</v>
      </c>
      <c r="M3849" t="b">
        <v>0</v>
      </c>
      <c r="N3849" t="inlineStr">
        <is>
          <t>alt</t>
        </is>
      </c>
      <c r="O3849" t="n">
        <v>-20</v>
      </c>
      <c r="P3849" t="n">
        <v>0.00293</v>
      </c>
      <c r="Q3849" t="n">
        <v>-85</v>
      </c>
      <c r="R3849" t="n">
        <v>0.1665</v>
      </c>
      <c r="S3849">
        <f>IMAGE("https://mitra.stanford.edu/kundaje/oak/projects/neuro-variants/variant_position/credible/roussos_2024/variant_figures/roussos_2024.infant.GLU/rs13259407_count_position.png",4,220,900)</f>
        <v/>
      </c>
      <c r="T3849">
        <f>IMAGE("https://mitra.stanford.edu/kundaje/oak/projects/neuro-variants/variant_position/credible/roussos_2024/variant_figures/roussos_2024.infant.GLU/rs13259407_profile_position.png",4,220,900)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-0.077881292</v>
      </c>
      <c r="G3850" t="n">
        <v>0.08541234654684179</v>
      </c>
      <c r="H3850" t="n">
        <v>0.0130307727045003</v>
      </c>
      <c r="I3850" t="n">
        <v>0.480661331963188</v>
      </c>
      <c r="J3850" t="n">
        <v>0.0147732533786017</v>
      </c>
      <c r="K3850" t="n">
        <v>0.6156807053381274</v>
      </c>
      <c r="L3850" t="b">
        <v>0</v>
      </c>
      <c r="M3850" t="b">
        <v>0</v>
      </c>
      <c r="N3850" t="inlineStr">
        <is>
          <t>ref</t>
        </is>
      </c>
      <c r="O3850" t="n">
        <v>55</v>
      </c>
      <c r="P3850" t="n">
        <v>0.01569</v>
      </c>
      <c r="Q3850" t="n">
        <v>45</v>
      </c>
      <c r="R3850" t="n">
        <v>0.1382</v>
      </c>
      <c r="S3850">
        <f>IMAGE("https://mitra.stanford.edu/kundaje/oak/projects/neuro-variants/variant_position/credible/roussos_2024/variant_figures/roussos_2024.infant.GLU/rs7018369_count_position.png",4,220,900)</f>
        <v/>
      </c>
      <c r="T3850">
        <f>IMAGE("https://mitra.stanford.edu/kundaje/oak/projects/neuro-variants/variant_position/credible/roussos_2024/variant_figures/roussos_2024.infant.GLU/rs7018369_profile_position.png",4,220,900)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0.3960506379999999</v>
      </c>
      <c r="G3851" t="n">
        <v>0.0011313411017165</v>
      </c>
      <c r="H3851" t="n">
        <v>0.050507530856957</v>
      </c>
      <c r="I3851" t="n">
        <v>0.0073344299232729</v>
      </c>
      <c r="J3851" t="n">
        <v>0.1230163804316673</v>
      </c>
      <c r="K3851" t="n">
        <v>0.1772200554216277</v>
      </c>
      <c r="L3851" t="b">
        <v>1</v>
      </c>
      <c r="M3851" t="b">
        <v>1</v>
      </c>
      <c r="N3851" t="inlineStr">
        <is>
          <t>alt</t>
        </is>
      </c>
      <c r="O3851" t="n">
        <v>-40</v>
      </c>
      <c r="P3851" t="n">
        <v>0.013245</v>
      </c>
      <c r="Q3851" t="n">
        <v>70</v>
      </c>
      <c r="R3851" t="n">
        <v>0.0674</v>
      </c>
      <c r="S3851">
        <f>IMAGE("https://mitra.stanford.edu/kundaje/oak/projects/neuro-variants/variant_position/credible/roussos_2024/variant_figures/roussos_2024.infant.GLU/rs3808573_count_position.png",4,220,900)</f>
        <v/>
      </c>
      <c r="T3851">
        <f>IMAGE("https://mitra.stanford.edu/kundaje/oak/projects/neuro-variants/variant_position/credible/roussos_2024/variant_figures/roussos_2024.infant.GLU/rs3808573_profile_position.png",4,220,900)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0.143993702</v>
      </c>
      <c r="G3852" t="n">
        <v>0.0226647173761972</v>
      </c>
      <c r="H3852" t="n">
        <v>0.0188002864733535</v>
      </c>
      <c r="I3852" t="n">
        <v>0.2193981130725316</v>
      </c>
      <c r="J3852" t="n">
        <v>0.0563934390087964</v>
      </c>
      <c r="K3852" t="n">
        <v>0.3166572348700267</v>
      </c>
      <c r="L3852" t="b">
        <v>0</v>
      </c>
      <c r="M3852" t="b">
        <v>0</v>
      </c>
      <c r="N3852" t="inlineStr">
        <is>
          <t>alt</t>
        </is>
      </c>
      <c r="O3852" t="n">
        <v>-100</v>
      </c>
      <c r="P3852" t="n">
        <v>0.0191</v>
      </c>
      <c r="Q3852" t="n">
        <v>-100</v>
      </c>
      <c r="R3852" t="n">
        <v>0.03955</v>
      </c>
      <c r="S3852">
        <f>IMAGE("https://mitra.stanford.edu/kundaje/oak/projects/neuro-variants/variant_position/credible/roussos_2024/variant_figures/roussos_2024.infant.GLU/rs3808566_count_position.png",4,220,900)</f>
        <v/>
      </c>
      <c r="T3852">
        <f>IMAGE("https://mitra.stanford.edu/kundaje/oak/projects/neuro-variants/variant_position/credible/roussos_2024/variant_figures/roussos_2024.infant.GLU/rs3808566_profile_position.png",4,220,900)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0.012934800928</v>
      </c>
      <c r="G3853" t="n">
        <v>0.4992889697413519</v>
      </c>
      <c r="H3853" t="n">
        <v>0.0356043227009762</v>
      </c>
      <c r="I3853" t="n">
        <v>0.0317630508813096</v>
      </c>
      <c r="J3853" t="n">
        <v>0.2106704292422672</v>
      </c>
      <c r="K3853" t="n">
        <v>0.1053439600299305</v>
      </c>
      <c r="L3853" t="b">
        <v>0</v>
      </c>
      <c r="M3853" t="b">
        <v>0</v>
      </c>
      <c r="N3853" t="inlineStr">
        <is>
          <t>alt</t>
        </is>
      </c>
      <c r="O3853" t="n">
        <v>75</v>
      </c>
      <c r="P3853" t="n">
        <v>0.01085</v>
      </c>
      <c r="Q3853" t="n">
        <v>75</v>
      </c>
      <c r="R3853" t="n">
        <v>0.1807</v>
      </c>
      <c r="S3853">
        <f>IMAGE("https://mitra.stanford.edu/kundaje/oak/projects/neuro-variants/variant_position/credible/roussos_2024/variant_figures/roussos_2024.infant.GLU/rs3824232_count_position.png",4,220,900)</f>
        <v/>
      </c>
      <c r="T3853">
        <f>IMAGE("https://mitra.stanford.edu/kundaje/oak/projects/neuro-variants/variant_position/credible/roussos_2024/variant_figures/roussos_2024.infant.GLU/rs3824232_profile_position.png",4,220,900)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0.0546801594</v>
      </c>
      <c r="G3854" t="n">
        <v>0.1461621198034642</v>
      </c>
      <c r="H3854" t="n">
        <v>0.0109154399037958</v>
      </c>
      <c r="I3854" t="n">
        <v>0.6544674651480427</v>
      </c>
      <c r="J3854" t="n">
        <v>0.0565995723009766</v>
      </c>
      <c r="K3854" t="n">
        <v>0.3162559862753741</v>
      </c>
      <c r="L3854" t="b">
        <v>0</v>
      </c>
      <c r="M3854" t="b">
        <v>0</v>
      </c>
      <c r="N3854" t="inlineStr">
        <is>
          <t>alt</t>
        </is>
      </c>
      <c r="O3854" t="n">
        <v>-100</v>
      </c>
      <c r="P3854" t="n">
        <v>0.01396</v>
      </c>
      <c r="Q3854" t="n">
        <v>100</v>
      </c>
      <c r="R3854" t="n">
        <v>0.05927</v>
      </c>
      <c r="S3854">
        <f>IMAGE("https://mitra.stanford.edu/kundaje/oak/projects/neuro-variants/variant_position/credible/roussos_2024/variant_figures/roussos_2024.infant.GLU/rs56085315_count_position.png",4,220,900)</f>
        <v/>
      </c>
      <c r="T3854">
        <f>IMAGE("https://mitra.stanford.edu/kundaje/oak/projects/neuro-variants/variant_position/credible/roussos_2024/variant_figures/roussos_2024.infant.GLU/rs56085315_profile_position.png",4,220,900)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0.00428476558</v>
      </c>
      <c r="G3855" t="n">
        <v>0.8136961081479228</v>
      </c>
      <c r="H3855" t="n">
        <v>0.008866942599757399</v>
      </c>
      <c r="I3855" t="n">
        <v>0.8362309948169435</v>
      </c>
      <c r="J3855" t="n">
        <v>0.010647280583787</v>
      </c>
      <c r="K3855" t="n">
        <v>0.6693937701121293</v>
      </c>
      <c r="L3855" t="b">
        <v>0</v>
      </c>
      <c r="M3855" t="b">
        <v>0</v>
      </c>
      <c r="N3855" t="inlineStr">
        <is>
          <t>alt</t>
        </is>
      </c>
      <c r="O3855" t="n">
        <v>-70</v>
      </c>
      <c r="P3855" t="n">
        <v>0.0828</v>
      </c>
      <c r="Q3855" t="n">
        <v>-70</v>
      </c>
      <c r="R3855" t="n">
        <v>0.2023</v>
      </c>
      <c r="S3855">
        <f>IMAGE("https://mitra.stanford.edu/kundaje/oak/projects/neuro-variants/variant_position/credible/roussos_2024/variant_figures/roussos_2024.infant.GLU/rs3757908_count_position.png",4,220,900)</f>
        <v/>
      </c>
      <c r="T3855">
        <f>IMAGE("https://mitra.stanford.edu/kundaje/oak/projects/neuro-variants/variant_position/credible/roussos_2024/variant_figures/roussos_2024.infant.GLU/rs3757908_profile_position.png",4,220,900)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-0.1584002099999999</v>
      </c>
      <c r="G3856" t="n">
        <v>0.0218959442977559</v>
      </c>
      <c r="H3856" t="n">
        <v>0.0407625845108147</v>
      </c>
      <c r="I3856" t="n">
        <v>0.0192656210853146</v>
      </c>
      <c r="J3856" t="n">
        <v>0.0354472100354945</v>
      </c>
      <c r="K3856" t="n">
        <v>0.4253515535436507</v>
      </c>
      <c r="L3856" t="b">
        <v>1</v>
      </c>
      <c r="M3856" t="b">
        <v>0</v>
      </c>
      <c r="N3856" t="inlineStr">
        <is>
          <t>ref</t>
        </is>
      </c>
      <c r="O3856" t="n">
        <v>80</v>
      </c>
      <c r="P3856" t="n">
        <v>0.004196</v>
      </c>
      <c r="Q3856" t="n">
        <v>-65</v>
      </c>
      <c r="R3856" t="n">
        <v>0.05682</v>
      </c>
      <c r="S3856">
        <f>IMAGE("https://mitra.stanford.edu/kundaje/oak/projects/neuro-variants/variant_position/credible/roussos_2024/variant_figures/roussos_2024.infant.GLU/rs7005936_count_position.png",4,220,900)</f>
        <v/>
      </c>
      <c r="T3856">
        <f>IMAGE("https://mitra.stanford.edu/kundaje/oak/projects/neuro-variants/variant_position/credible/roussos_2024/variant_figures/roussos_2024.infant.GLU/rs7005936_profile_position.png",4,220,900)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0.0547842452999999</v>
      </c>
      <c r="G3857" t="n">
        <v>0.1497502923438194</v>
      </c>
      <c r="H3857" t="n">
        <v>0.0160251506027633</v>
      </c>
      <c r="I3857" t="n">
        <v>0.3116334737590586</v>
      </c>
      <c r="J3857" t="n">
        <v>0.1363533146674309</v>
      </c>
      <c r="K3857" t="n">
        <v>0.1632506971409329</v>
      </c>
      <c r="L3857" t="b">
        <v>0</v>
      </c>
      <c r="M3857" t="b">
        <v>0</v>
      </c>
      <c r="N3857" t="inlineStr">
        <is>
          <t>alt</t>
        </is>
      </c>
      <c r="O3857" t="n">
        <v>-95</v>
      </c>
      <c r="P3857" t="n">
        <v>0.003494</v>
      </c>
      <c r="Q3857" t="n">
        <v>-95</v>
      </c>
      <c r="R3857" t="n">
        <v>0.1115</v>
      </c>
      <c r="S3857">
        <f>IMAGE("https://mitra.stanford.edu/kundaje/oak/projects/neuro-variants/variant_position/credible/roussos_2024/variant_figures/roussos_2024.infant.GLU/rs1106359_count_position.png",4,220,900)</f>
        <v/>
      </c>
      <c r="T3857">
        <f>IMAGE("https://mitra.stanford.edu/kundaje/oak/projects/neuro-variants/variant_position/credible/roussos_2024/variant_figures/roussos_2024.infant.GLU/rs1106359_profile_position.png",4,220,900)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0.1201855189999999</v>
      </c>
      <c r="G3858" t="n">
        <v>0.0353946062685868</v>
      </c>
      <c r="H3858" t="n">
        <v>0.0282081253382403</v>
      </c>
      <c r="I3858" t="n">
        <v>0.06986864557472269</v>
      </c>
      <c r="J3858" t="n">
        <v>0.2289611763927776</v>
      </c>
      <c r="K3858" t="n">
        <v>0.0968629604625862</v>
      </c>
      <c r="L3858" t="b">
        <v>0</v>
      </c>
      <c r="M3858" t="b">
        <v>0</v>
      </c>
      <c r="N3858" t="inlineStr">
        <is>
          <t>alt</t>
        </is>
      </c>
      <c r="O3858" t="n">
        <v>15</v>
      </c>
      <c r="P3858" t="n">
        <v>0.003967</v>
      </c>
      <c r="Q3858" t="n">
        <v>20</v>
      </c>
      <c r="R3858" t="n">
        <v>0.1138</v>
      </c>
      <c r="S3858">
        <f>IMAGE("https://mitra.stanford.edu/kundaje/oak/projects/neuro-variants/variant_position/credible/roussos_2024/variant_figures/roussos_2024.infant.GLU/rs2565065_count_position.png",4,220,900)</f>
        <v/>
      </c>
      <c r="T3858">
        <f>IMAGE("https://mitra.stanford.edu/kundaje/oak/projects/neuro-variants/variant_position/credible/roussos_2024/variant_figures/roussos_2024.infant.GLU/rs2565065_profile_position.png",4,220,900)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0.0607430102</v>
      </c>
      <c r="G3859" t="n">
        <v>0.120651551905815</v>
      </c>
      <c r="H3859" t="n">
        <v>0.0112538535357257</v>
      </c>
      <c r="I3859" t="n">
        <v>0.5998816342076665</v>
      </c>
      <c r="J3859" t="n">
        <v>0.1652737053286007</v>
      </c>
      <c r="K3859" t="n">
        <v>0.1342780690363097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0.114</v>
      </c>
      <c r="Q3859" t="n">
        <v>-100</v>
      </c>
      <c r="R3859" t="n">
        <v>0.1824</v>
      </c>
      <c r="S3859">
        <f>IMAGE("https://mitra.stanford.edu/kundaje/oak/projects/neuro-variants/variant_position/credible/roussos_2024/variant_figures/roussos_2024.infant.GLU/rs867232_count_position.png",4,220,900)</f>
        <v/>
      </c>
      <c r="T3859">
        <f>IMAGE("https://mitra.stanford.edu/kundaje/oak/projects/neuro-variants/variant_position/credible/roussos_2024/variant_figures/roussos_2024.infant.GLU/rs867232_profile_position.png",4,220,900)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0.0249321048</v>
      </c>
      <c r="G3860" t="n">
        <v>0.3649997047691365</v>
      </c>
      <c r="H3860" t="n">
        <v>0.0526429337935153</v>
      </c>
      <c r="I3860" t="n">
        <v>0.0059804964854155</v>
      </c>
      <c r="J3860" t="n">
        <v>0.0060550276681584</v>
      </c>
      <c r="K3860" t="n">
        <v>0.7309309733708161</v>
      </c>
      <c r="L3860" t="b">
        <v>0</v>
      </c>
      <c r="M3860" t="b">
        <v>0</v>
      </c>
      <c r="N3860" t="inlineStr">
        <is>
          <t>alt</t>
        </is>
      </c>
      <c r="O3860" t="n">
        <v>-45</v>
      </c>
      <c r="P3860" t="n">
        <v>0.00418</v>
      </c>
      <c r="Q3860" t="n">
        <v>-95</v>
      </c>
      <c r="R3860" t="n">
        <v>0.0712</v>
      </c>
      <c r="S3860">
        <f>IMAGE("https://mitra.stanford.edu/kundaje/oak/projects/neuro-variants/variant_position/credible/roussos_2024/variant_figures/roussos_2024.infant.GLU/rs2881131_count_position.png",4,220,900)</f>
        <v/>
      </c>
      <c r="T3860">
        <f>IMAGE("https://mitra.stanford.edu/kundaje/oak/projects/neuro-variants/variant_position/credible/roussos_2024/variant_figures/roussos_2024.infant.GLU/rs2881131_profile_position.png",4,220,900)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-0.0316481738</v>
      </c>
      <c r="G3861" t="n">
        <v>0.3241460042100343</v>
      </c>
      <c r="H3861" t="n">
        <v>0.0117232969160297</v>
      </c>
      <c r="I3861" t="n">
        <v>0.5833508368261185</v>
      </c>
      <c r="J3861" t="n">
        <v>0.1482208602482418</v>
      </c>
      <c r="K3861" t="n">
        <v>0.1474299953635383</v>
      </c>
      <c r="L3861" t="b">
        <v>0</v>
      </c>
      <c r="M3861" t="b">
        <v>0</v>
      </c>
      <c r="N3861" t="inlineStr">
        <is>
          <t>ref</t>
        </is>
      </c>
      <c r="O3861" t="n">
        <v>-100</v>
      </c>
      <c r="P3861" t="n">
        <v>0.0327</v>
      </c>
      <c r="Q3861" t="n">
        <v>25</v>
      </c>
      <c r="R3861" t="n">
        <v>0.0232</v>
      </c>
      <c r="S3861">
        <f>IMAGE("https://mitra.stanford.edu/kundaje/oak/projects/neuro-variants/variant_position/credible/roussos_2024/variant_figures/roussos_2024.infant.GLU/rs2575065_count_position.png",4,220,900)</f>
        <v/>
      </c>
      <c r="T3861">
        <f>IMAGE("https://mitra.stanford.edu/kundaje/oak/projects/neuro-variants/variant_position/credible/roussos_2024/variant_figures/roussos_2024.infant.GLU/rs2575065_profile_position.png",4,220,900)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-0.0063823526999999</v>
      </c>
      <c r="G3862" t="n">
        <v>0.5771998273133089</v>
      </c>
      <c r="H3862" t="n">
        <v>0.0336708974637032</v>
      </c>
      <c r="I3862" t="n">
        <v>0.0387642755956501</v>
      </c>
      <c r="J3862" t="n">
        <v>0.0029972001146409</v>
      </c>
      <c r="K3862" t="n">
        <v>0.8293030336158668</v>
      </c>
      <c r="L3862" t="b">
        <v>0</v>
      </c>
      <c r="M3862" t="b">
        <v>0</v>
      </c>
      <c r="N3862" t="inlineStr">
        <is>
          <t>ref</t>
        </is>
      </c>
      <c r="O3862" t="n">
        <v>95</v>
      </c>
      <c r="P3862" t="n">
        <v>0.0151</v>
      </c>
      <c r="Q3862" t="n">
        <v>15</v>
      </c>
      <c r="R3862" t="n">
        <v>0.02554</v>
      </c>
      <c r="S3862">
        <f>IMAGE("https://mitra.stanford.edu/kundaje/oak/projects/neuro-variants/variant_position/credible/roussos_2024/variant_figures/roussos_2024.infant.GLU/rs77184019_count_position.png",4,220,900)</f>
        <v/>
      </c>
      <c r="T3862">
        <f>IMAGE("https://mitra.stanford.edu/kundaje/oak/projects/neuro-variants/variant_position/credible/roussos_2024/variant_figures/roussos_2024.infant.GLU/rs77184019_profile_position.png",4,220,900)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-0.141735174</v>
      </c>
      <c r="G3863" t="n">
        <v>0.0233054972546089</v>
      </c>
      <c r="H3863" t="n">
        <v>0.0200681686978906</v>
      </c>
      <c r="I3863" t="n">
        <v>0.1835951063714883</v>
      </c>
      <c r="J3863" t="n">
        <v>0.0285478074913467</v>
      </c>
      <c r="K3863" t="n">
        <v>0.4831627958347969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0.02818</v>
      </c>
      <c r="Q3863" t="n">
        <v>-100</v>
      </c>
      <c r="R3863" t="n">
        <v>0.02264</v>
      </c>
      <c r="S3863">
        <f>IMAGE("https://mitra.stanford.edu/kundaje/oak/projects/neuro-variants/variant_position/credible/roussos_2024/variant_figures/roussos_2024.infant.GLU/rs2716947_count_position.png",4,220,900)</f>
        <v/>
      </c>
      <c r="T3863">
        <f>IMAGE("https://mitra.stanford.edu/kundaje/oak/projects/neuro-variants/variant_position/credible/roussos_2024/variant_figures/roussos_2024.infant.GLU/rs2716947_profile_position.png",4,220,900)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-0.0229599531</v>
      </c>
      <c r="G3864" t="n">
        <v>0.4277588613512479</v>
      </c>
      <c r="H3864" t="n">
        <v>0.0291342491040719</v>
      </c>
      <c r="I3864" t="n">
        <v>0.0632147235137383</v>
      </c>
      <c r="J3864" t="n">
        <v>0.0224861659207654</v>
      </c>
      <c r="K3864" t="n">
        <v>0.5254419785924014</v>
      </c>
      <c r="L3864" t="b">
        <v>0</v>
      </c>
      <c r="M3864" t="b">
        <v>0</v>
      </c>
      <c r="N3864" t="inlineStr">
        <is>
          <t>ref</t>
        </is>
      </c>
      <c r="O3864" t="n">
        <v>15</v>
      </c>
      <c r="P3864" t="n">
        <v>0.00473</v>
      </c>
      <c r="Q3864" t="n">
        <v>95</v>
      </c>
      <c r="R3864" t="n">
        <v>0.091</v>
      </c>
      <c r="S3864">
        <f>IMAGE("https://mitra.stanford.edu/kundaje/oak/projects/neuro-variants/variant_position/credible/roussos_2024/variant_figures/roussos_2024.infant.GLU/rs2681614_count_position.png",4,220,900)</f>
        <v/>
      </c>
      <c r="T3864">
        <f>IMAGE("https://mitra.stanford.edu/kundaje/oak/projects/neuro-variants/variant_position/credible/roussos_2024/variant_figures/roussos_2024.infant.GLU/rs2681614_profile_position.png",4,220,900)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-0.0353875464</v>
      </c>
      <c r="G3865" t="n">
        <v>0.2727749781508363</v>
      </c>
      <c r="H3865" t="n">
        <v>0.0528500994357417</v>
      </c>
      <c r="I3865" t="n">
        <v>0.0059578739804569</v>
      </c>
      <c r="J3865" t="n">
        <v>0.0018353579223527</v>
      </c>
      <c r="K3865" t="n">
        <v>0.850891403685299</v>
      </c>
      <c r="L3865" t="b">
        <v>0</v>
      </c>
      <c r="M3865" t="b">
        <v>0</v>
      </c>
      <c r="N3865" t="inlineStr">
        <is>
          <t>ref</t>
        </is>
      </c>
      <c r="O3865" t="n">
        <v>40</v>
      </c>
      <c r="P3865" t="n">
        <v>0.0188</v>
      </c>
      <c r="Q3865" t="n">
        <v>70</v>
      </c>
      <c r="R3865" t="n">
        <v>0.013245</v>
      </c>
      <c r="S3865">
        <f>IMAGE("https://mitra.stanford.edu/kundaje/oak/projects/neuro-variants/variant_position/credible/roussos_2024/variant_figures/roussos_2024.infant.GLU/rs2716966_count_position.png",4,220,900)</f>
        <v/>
      </c>
      <c r="T3865">
        <f>IMAGE("https://mitra.stanford.edu/kundaje/oak/projects/neuro-variants/variant_position/credible/roussos_2024/variant_figures/roussos_2024.infant.GLU/rs2716966_profile_position.png",4,220,900)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-0.02111833996</v>
      </c>
      <c r="G3866" t="n">
        <v>0.3917315076264018</v>
      </c>
      <c r="H3866" t="n">
        <v>0.0304876745129593</v>
      </c>
      <c r="I3866" t="n">
        <v>0.054845401033769</v>
      </c>
      <c r="J3866" t="n">
        <v>0.0052889173041733</v>
      </c>
      <c r="K3866" t="n">
        <v>0.7509342200353776</v>
      </c>
      <c r="L3866" t="b">
        <v>0</v>
      </c>
      <c r="M3866" t="b">
        <v>0</v>
      </c>
      <c r="N3866" t="inlineStr">
        <is>
          <t>ref</t>
        </is>
      </c>
      <c r="O3866" t="n">
        <v>-100</v>
      </c>
      <c r="P3866" t="n">
        <v>0.013855</v>
      </c>
      <c r="Q3866" t="n">
        <v>15</v>
      </c>
      <c r="R3866" t="n">
        <v>0.03564</v>
      </c>
      <c r="S3866">
        <f>IMAGE("https://mitra.stanford.edu/kundaje/oak/projects/neuro-variants/variant_position/credible/roussos_2024/variant_figures/roussos_2024.infant.GLU/rs4376462_count_position.png",4,220,900)</f>
        <v/>
      </c>
      <c r="T3866">
        <f>IMAGE("https://mitra.stanford.edu/kundaje/oak/projects/neuro-variants/variant_position/credible/roussos_2024/variant_figures/roussos_2024.infant.GLU/rs4376462_profile_position.png",4,220,900)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0.0343095873999999</v>
      </c>
      <c r="G3867" t="n">
        <v>0.2192468831938333</v>
      </c>
      <c r="H3867" t="n">
        <v>0.0396771221806618</v>
      </c>
      <c r="I3867" t="n">
        <v>0.020871194649199</v>
      </c>
      <c r="J3867" t="n">
        <v>0.1022586476774179</v>
      </c>
      <c r="K3867" t="n">
        <v>0.2046045273077996</v>
      </c>
      <c r="L3867" t="b">
        <v>0</v>
      </c>
      <c r="M3867" t="b">
        <v>0</v>
      </c>
      <c r="N3867" t="inlineStr">
        <is>
          <t>alt</t>
        </is>
      </c>
      <c r="O3867" t="n">
        <v>65</v>
      </c>
      <c r="P3867" t="n">
        <v>0.03796</v>
      </c>
      <c r="Q3867" t="n">
        <v>-70</v>
      </c>
      <c r="R3867" t="n">
        <v>0.1787</v>
      </c>
      <c r="S3867">
        <f>IMAGE("https://mitra.stanford.edu/kundaje/oak/projects/neuro-variants/variant_position/credible/roussos_2024/variant_figures/roussos_2024.infant.GLU/rs13251167_count_position.png",4,220,900)</f>
        <v/>
      </c>
      <c r="T3867">
        <f>IMAGE("https://mitra.stanford.edu/kundaje/oak/projects/neuro-variants/variant_position/credible/roussos_2024/variant_figures/roussos_2024.infant.GLU/rs13251167_profile_position.png",4,220,900)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-0.00276340342</v>
      </c>
      <c r="G3868" t="n">
        <v>0.6926808912971529</v>
      </c>
      <c r="H3868" t="n">
        <v>0.008388149251754899</v>
      </c>
      <c r="I3868" t="n">
        <v>0.8775714262796509</v>
      </c>
      <c r="J3868" t="n">
        <v>0.0007628034127736</v>
      </c>
      <c r="K3868" t="n">
        <v>0.9056347947929476</v>
      </c>
      <c r="L3868" t="b">
        <v>0</v>
      </c>
      <c r="M3868" t="b">
        <v>0</v>
      </c>
      <c r="N3868" t="inlineStr">
        <is>
          <t>ref</t>
        </is>
      </c>
      <c r="O3868" t="n">
        <v>100</v>
      </c>
      <c r="P3868" t="n">
        <v>0.012985</v>
      </c>
      <c r="Q3868" t="n">
        <v>-70</v>
      </c>
      <c r="R3868" t="n">
        <v>0.042</v>
      </c>
      <c r="S3868">
        <f>IMAGE("https://mitra.stanford.edu/kundaje/oak/projects/neuro-variants/variant_position/credible/roussos_2024/variant_figures/roussos_2024.infant.GLU/rs4739486_count_position.png",4,220,900)</f>
        <v/>
      </c>
      <c r="T3868">
        <f>IMAGE("https://mitra.stanford.edu/kundaje/oak/projects/neuro-variants/variant_position/credible/roussos_2024/variant_figures/roussos_2024.infant.GLU/rs4739486_profile_position.png",4,220,900)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0.0382777936</v>
      </c>
      <c r="G3869" t="n">
        <v>0.2468434762898805</v>
      </c>
      <c r="H3869" t="n">
        <v>0.0076012532940286</v>
      </c>
      <c r="I3869" t="n">
        <v>0.924750065264632</v>
      </c>
      <c r="J3869" t="n">
        <v>0.1053407262064859</v>
      </c>
      <c r="K3869" t="n">
        <v>0.2008407205110979</v>
      </c>
      <c r="L3869" t="b">
        <v>0</v>
      </c>
      <c r="M3869" t="b">
        <v>0</v>
      </c>
      <c r="N3869" t="inlineStr">
        <is>
          <t>alt</t>
        </is>
      </c>
      <c r="O3869" t="n">
        <v>95</v>
      </c>
      <c r="P3869" t="n">
        <v>0.01566</v>
      </c>
      <c r="Q3869" t="n">
        <v>-50</v>
      </c>
      <c r="R3869" t="n">
        <v>0.05542</v>
      </c>
      <c r="S3869">
        <f>IMAGE("https://mitra.stanford.edu/kundaje/oak/projects/neuro-variants/variant_position/credible/roussos_2024/variant_figures/roussos_2024.infant.GLU/rs4483152_count_position.png",4,220,900)</f>
        <v/>
      </c>
      <c r="T3869">
        <f>IMAGE("https://mitra.stanford.edu/kundaje/oak/projects/neuro-variants/variant_position/credible/roussos_2024/variant_figures/roussos_2024.infant.GLU/rs4483152_profile_position.png",4,220,900)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0.0689334068</v>
      </c>
      <c r="G3870" t="n">
        <v>0.1148111934539787</v>
      </c>
      <c r="H3870" t="n">
        <v>0.0184290300814468</v>
      </c>
      <c r="I3870" t="n">
        <v>0.2335507617831307</v>
      </c>
      <c r="J3870" t="n">
        <v>0.0829559734562049</v>
      </c>
      <c r="K3870" t="n">
        <v>0.2398670404869096</v>
      </c>
      <c r="L3870" t="b">
        <v>0</v>
      </c>
      <c r="M3870" t="b">
        <v>0</v>
      </c>
      <c r="N3870" t="inlineStr">
        <is>
          <t>alt</t>
        </is>
      </c>
      <c r="O3870" t="n">
        <v>-95</v>
      </c>
      <c r="P3870" t="n">
        <v>0.0465</v>
      </c>
      <c r="Q3870" t="n">
        <v>-100</v>
      </c>
      <c r="R3870" t="n">
        <v>0.1105</v>
      </c>
      <c r="S3870">
        <f>IMAGE("https://mitra.stanford.edu/kundaje/oak/projects/neuro-variants/variant_position/credible/roussos_2024/variant_figures/roussos_2024.infant.GLU/rs2953935_count_position.png",4,220,900)</f>
        <v/>
      </c>
      <c r="T3870">
        <f>IMAGE("https://mitra.stanford.edu/kundaje/oak/projects/neuro-variants/variant_position/credible/roussos_2024/variant_figures/roussos_2024.infant.GLU/rs2953935_profile_position.png",4,220,900)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-0.0402002578</v>
      </c>
      <c r="G3871" t="n">
        <v>0.2289334297806598</v>
      </c>
      <c r="H3871" t="n">
        <v>0.0119180732071797</v>
      </c>
      <c r="I3871" t="n">
        <v>0.5636208926728639</v>
      </c>
      <c r="J3871" t="n">
        <v>0.0291926629775788</v>
      </c>
      <c r="K3871" t="n">
        <v>0.471855552136245</v>
      </c>
      <c r="L3871" t="b">
        <v>0</v>
      </c>
      <c r="M3871" t="b">
        <v>0</v>
      </c>
      <c r="N3871" t="inlineStr">
        <is>
          <t>ref</t>
        </is>
      </c>
      <c r="O3871" t="n">
        <v>-100</v>
      </c>
      <c r="P3871" t="n">
        <v>0.01242</v>
      </c>
      <c r="Q3871" t="n">
        <v>95</v>
      </c>
      <c r="R3871" t="n">
        <v>0.04797</v>
      </c>
      <c r="S3871">
        <f>IMAGE("https://mitra.stanford.edu/kundaje/oak/projects/neuro-variants/variant_position/credible/roussos_2024/variant_figures/roussos_2024.infant.GLU/rs79845297_count_position.png",4,220,900)</f>
        <v/>
      </c>
      <c r="T3871">
        <f>IMAGE("https://mitra.stanford.edu/kundaje/oak/projects/neuro-variants/variant_position/credible/roussos_2024/variant_figures/roussos_2024.infant.GLU/rs79845297_profile_position.png",4,220,900)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-0.0612641494</v>
      </c>
      <c r="G3872" t="n">
        <v>0.1987937394531718</v>
      </c>
      <c r="H3872" t="n">
        <v>0.0168669901288025</v>
      </c>
      <c r="I3872" t="n">
        <v>0.3118871737759201</v>
      </c>
      <c r="J3872" t="n">
        <v>0.0024956458475715</v>
      </c>
      <c r="K3872" t="n">
        <v>0.8690029579545354</v>
      </c>
      <c r="L3872" t="b">
        <v>0</v>
      </c>
      <c r="M3872" t="b">
        <v>0</v>
      </c>
      <c r="N3872" t="inlineStr">
        <is>
          <t>ref</t>
        </is>
      </c>
      <c r="O3872" t="n">
        <v>-15</v>
      </c>
      <c r="P3872" t="n">
        <v>0.0006256</v>
      </c>
      <c r="Q3872" t="n">
        <v>-25</v>
      </c>
      <c r="R3872" t="n">
        <v>0.02863</v>
      </c>
      <c r="S3872">
        <f>IMAGE("https://mitra.stanford.edu/kundaje/oak/projects/neuro-variants/variant_position/credible/roussos_2024/variant_figures/roussos_2024.infant.GLU/rs2609620_count_position.png",4,220,900)</f>
        <v/>
      </c>
      <c r="T3872">
        <f>IMAGE("https://mitra.stanford.edu/kundaje/oak/projects/neuro-variants/variant_position/credible/roussos_2024/variant_figures/roussos_2024.infant.GLU/rs2609620_profile_position.png",4,220,900)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-0.0232065282</v>
      </c>
      <c r="G3873" t="n">
        <v>0.3569272051803174</v>
      </c>
      <c r="H3873" t="n">
        <v>0.0088516342149184</v>
      </c>
      <c r="I3873" t="n">
        <v>0.8453754380728448</v>
      </c>
      <c r="J3873" t="n">
        <v>0.0560043210829162</v>
      </c>
      <c r="K3873" t="n">
        <v>0.3151314834129686</v>
      </c>
      <c r="L3873" t="b">
        <v>0</v>
      </c>
      <c r="M3873" t="b">
        <v>0</v>
      </c>
      <c r="N3873" t="inlineStr">
        <is>
          <t>ref</t>
        </is>
      </c>
      <c r="O3873" t="n">
        <v>-100</v>
      </c>
      <c r="P3873" t="n">
        <v>0.23</v>
      </c>
      <c r="Q3873" t="n">
        <v>-50</v>
      </c>
      <c r="R3873" t="n">
        <v>0.0315</v>
      </c>
      <c r="S3873">
        <f>IMAGE("https://mitra.stanford.edu/kundaje/oak/projects/neuro-variants/variant_position/credible/roussos_2024/variant_figures/roussos_2024.infant.GLU/rs2609622_count_position.png",4,220,900)</f>
        <v/>
      </c>
      <c r="T3873">
        <f>IMAGE("https://mitra.stanford.edu/kundaje/oak/projects/neuro-variants/variant_position/credible/roussos_2024/variant_figures/roussos_2024.infant.GLU/rs2609622_profile_position.png",4,220,900)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-0.0407024394</v>
      </c>
      <c r="G3874" t="n">
        <v>0.2265117547380448</v>
      </c>
      <c r="H3874" t="n">
        <v>0.0086682610502197</v>
      </c>
      <c r="I3874" t="n">
        <v>0.8601039678306215</v>
      </c>
      <c r="J3874" t="n">
        <v>0.0095945677814766</v>
      </c>
      <c r="K3874" t="n">
        <v>0.6817792023358948</v>
      </c>
      <c r="L3874" t="b">
        <v>0</v>
      </c>
      <c r="M3874" t="b">
        <v>0</v>
      </c>
      <c r="N3874" t="inlineStr">
        <is>
          <t>ref</t>
        </is>
      </c>
      <c r="O3874" t="n">
        <v>100</v>
      </c>
      <c r="P3874" t="n">
        <v>0.02184</v>
      </c>
      <c r="Q3874" t="n">
        <v>-40</v>
      </c>
      <c r="R3874" t="n">
        <v>0.0688</v>
      </c>
      <c r="S3874">
        <f>IMAGE("https://mitra.stanford.edu/kundaje/oak/projects/neuro-variants/variant_position/credible/roussos_2024/variant_figures/roussos_2024.infant.GLU/rs2719322_count_position.png",4,220,900)</f>
        <v/>
      </c>
      <c r="T3874">
        <f>IMAGE("https://mitra.stanford.edu/kundaje/oak/projects/neuro-variants/variant_position/credible/roussos_2024/variant_figures/roussos_2024.infant.GLU/rs2719322_profile_position.png",4,220,900)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-0.00964709186</v>
      </c>
      <c r="G3875" t="n">
        <v>0.6359263367058074</v>
      </c>
      <c r="H3875" t="n">
        <v>0.0231284507838086</v>
      </c>
      <c r="I3875" t="n">
        <v>0.1246483582255656</v>
      </c>
      <c r="J3875" t="n">
        <v>0.075226526157984</v>
      </c>
      <c r="K3875" t="n">
        <v>0.2641731517784699</v>
      </c>
      <c r="L3875" t="b">
        <v>0</v>
      </c>
      <c r="M3875" t="b">
        <v>0</v>
      </c>
      <c r="N3875" t="inlineStr">
        <is>
          <t>ref</t>
        </is>
      </c>
      <c r="O3875" t="n">
        <v>90</v>
      </c>
      <c r="P3875" t="n">
        <v>0.01874</v>
      </c>
      <c r="Q3875" t="n">
        <v>-60</v>
      </c>
      <c r="R3875" t="n">
        <v>0.08856</v>
      </c>
      <c r="S3875">
        <f>IMAGE("https://mitra.stanford.edu/kundaje/oak/projects/neuro-variants/variant_position/credible/roussos_2024/variant_figures/roussos_2024.infant.GLU/rs75428749_count_position.png",4,220,900)</f>
        <v/>
      </c>
      <c r="T3875">
        <f>IMAGE("https://mitra.stanford.edu/kundaje/oak/projects/neuro-variants/variant_position/credible/roussos_2024/variant_figures/roussos_2024.infant.GLU/rs75428749_profile_position.png",4,220,900)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-0.0526239974</v>
      </c>
      <c r="G3876" t="n">
        <v>0.159372087390894</v>
      </c>
      <c r="H3876" t="n">
        <v>0.0184959898972536</v>
      </c>
      <c r="I3876" t="n">
        <v>0.2239991115227394</v>
      </c>
      <c r="J3876" t="n">
        <v>0.0899689146586123</v>
      </c>
      <c r="K3876" t="n">
        <v>0.2286657742713306</v>
      </c>
      <c r="L3876" t="b">
        <v>0</v>
      </c>
      <c r="M3876" t="b">
        <v>0</v>
      </c>
      <c r="N3876" t="inlineStr">
        <is>
          <t>ref</t>
        </is>
      </c>
      <c r="O3876" t="n">
        <v>-20</v>
      </c>
      <c r="P3876" t="n">
        <v>0.004356</v>
      </c>
      <c r="Q3876" t="n">
        <v>-70</v>
      </c>
      <c r="R3876" t="n">
        <v>0.0332</v>
      </c>
      <c r="S3876">
        <f>IMAGE("https://mitra.stanford.edu/kundaje/oak/projects/neuro-variants/variant_position/credible/roussos_2024/variant_figures/roussos_2024.infant.GLU/rs73674310_count_position.png",4,220,900)</f>
        <v/>
      </c>
      <c r="T3876">
        <f>IMAGE("https://mitra.stanford.edu/kundaje/oak/projects/neuro-variants/variant_position/credible/roussos_2024/variant_figures/roussos_2024.infant.GLU/rs73674310_profile_position.png",4,220,900)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-0.0602487048</v>
      </c>
      <c r="G3877" t="n">
        <v>0.1411783156027464</v>
      </c>
      <c r="H3877" t="n">
        <v>0.0155154863705385</v>
      </c>
      <c r="I3877" t="n">
        <v>0.3337256858933322</v>
      </c>
      <c r="J3877" t="n">
        <v>0.1009998015829272</v>
      </c>
      <c r="K3877" t="n">
        <v>0.2063786569564428</v>
      </c>
      <c r="L3877" t="b">
        <v>0</v>
      </c>
      <c r="M3877" t="b">
        <v>0</v>
      </c>
      <c r="N3877" t="inlineStr">
        <is>
          <t>ref</t>
        </is>
      </c>
      <c r="O3877" t="n">
        <v>25</v>
      </c>
      <c r="P3877" t="n">
        <v>0.01024</v>
      </c>
      <c r="Q3877" t="n">
        <v>75</v>
      </c>
      <c r="R3877" t="n">
        <v>0.04504</v>
      </c>
      <c r="S3877">
        <f>IMAGE("https://mitra.stanford.edu/kundaje/oak/projects/neuro-variants/variant_position/credible/roussos_2024/variant_figures/roussos_2024.infant.GLU/rs1458903_count_position.png",4,220,900)</f>
        <v/>
      </c>
      <c r="T3877">
        <f>IMAGE("https://mitra.stanford.edu/kundaje/oak/projects/neuro-variants/variant_position/credible/roussos_2024/variant_figures/roussos_2024.infant.GLU/rs1458903_profile_position.png",4,220,900)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-0.0057337698</v>
      </c>
      <c r="G3878" t="n">
        <v>0.7195300793154562</v>
      </c>
      <c r="H3878" t="n">
        <v>0.0200499173758717</v>
      </c>
      <c r="I3878" t="n">
        <v>0.181736982001398</v>
      </c>
      <c r="J3878" t="n">
        <v>0.0113670936308119</v>
      </c>
      <c r="K3878" t="n">
        <v>0.6357403538542197</v>
      </c>
      <c r="L3878" t="b">
        <v>0</v>
      </c>
      <c r="M3878" t="b">
        <v>0</v>
      </c>
      <c r="N3878" t="inlineStr">
        <is>
          <t>ref</t>
        </is>
      </c>
      <c r="O3878" t="n">
        <v>15</v>
      </c>
      <c r="P3878" t="n">
        <v>0.00435</v>
      </c>
      <c r="Q3878" t="n">
        <v>-85</v>
      </c>
      <c r="R3878" t="n">
        <v>0.1488</v>
      </c>
      <c r="S3878">
        <f>IMAGE("https://mitra.stanford.edu/kundaje/oak/projects/neuro-variants/variant_position/credible/roussos_2024/variant_figures/roussos_2024.infant.GLU/rs73674323_count_position.png",4,220,900)</f>
        <v/>
      </c>
      <c r="T3878">
        <f>IMAGE("https://mitra.stanford.edu/kundaje/oak/projects/neuro-variants/variant_position/credible/roussos_2024/variant_figures/roussos_2024.infant.GLU/rs73674323_profile_position.png",4,220,900)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-0.0631147114</v>
      </c>
      <c r="G3879" t="n">
        <v>0.1215252458300211</v>
      </c>
      <c r="H3879" t="n">
        <v>0.0130093605509145</v>
      </c>
      <c r="I3879" t="n">
        <v>0.4842952646600275</v>
      </c>
      <c r="J3879" t="n">
        <v>0.0357823144249211</v>
      </c>
      <c r="K3879" t="n">
        <v>0.4106025438618655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0.1831</v>
      </c>
      <c r="Q3879" t="n">
        <v>100</v>
      </c>
      <c r="R3879" t="n">
        <v>0.07983</v>
      </c>
      <c r="S3879">
        <f>IMAGE("https://mitra.stanford.edu/kundaje/oak/projects/neuro-variants/variant_position/credible/roussos_2024/variant_figures/roussos_2024.infant.GLU/rs74931817_count_position.png",4,220,900)</f>
        <v/>
      </c>
      <c r="T3879">
        <f>IMAGE("https://mitra.stanford.edu/kundaje/oak/projects/neuro-variants/variant_position/credible/roussos_2024/variant_figures/roussos_2024.infant.GLU/rs74931817_profile_position.png",4,220,900)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0.0668645556</v>
      </c>
      <c r="G3880" t="n">
        <v>0.1052950189851053</v>
      </c>
      <c r="H3880" t="n">
        <v>0.0160784189402331</v>
      </c>
      <c r="I3880" t="n">
        <v>0.3167623936203441</v>
      </c>
      <c r="J3880" t="n">
        <v>0.0236876915275909</v>
      </c>
      <c r="K3880" t="n">
        <v>0.5156773064195866</v>
      </c>
      <c r="L3880" t="b">
        <v>0</v>
      </c>
      <c r="M3880" t="b">
        <v>0</v>
      </c>
      <c r="N3880" t="inlineStr">
        <is>
          <t>alt</t>
        </is>
      </c>
      <c r="O3880" t="n">
        <v>-35</v>
      </c>
      <c r="P3880" t="n">
        <v>0.003555</v>
      </c>
      <c r="Q3880" t="n">
        <v>45</v>
      </c>
      <c r="R3880" t="n">
        <v>0.05304</v>
      </c>
      <c r="S3880">
        <f>IMAGE("https://mitra.stanford.edu/kundaje/oak/projects/neuro-variants/variant_position/credible/roussos_2024/variant_figures/roussos_2024.infant.GLU/rs1562183_count_position.png",4,220,900)</f>
        <v/>
      </c>
      <c r="T3880">
        <f>IMAGE("https://mitra.stanford.edu/kundaje/oak/projects/neuro-variants/variant_position/credible/roussos_2024/variant_figures/roussos_2024.infant.GLU/rs1562183_profile_position.png",4,220,900)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-0.0178090544</v>
      </c>
      <c r="G3881" t="n">
        <v>0.4820625394861756</v>
      </c>
      <c r="H3881" t="n">
        <v>0.0285238167920428</v>
      </c>
      <c r="I3881" t="n">
        <v>0.0677190863458406</v>
      </c>
      <c r="J3881" t="n">
        <v>0.002498952798783</v>
      </c>
      <c r="K3881" t="n">
        <v>0.8201510053973065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0.742</v>
      </c>
      <c r="Q3881" t="n">
        <v>-95</v>
      </c>
      <c r="R3881" t="n">
        <v>0.2295</v>
      </c>
      <c r="S3881">
        <f>IMAGE("https://mitra.stanford.edu/kundaje/oak/projects/neuro-variants/variant_position/credible/roussos_2024/variant_figures/roussos_2024.infant.GLU/rs78759621_count_position.png",4,220,900)</f>
        <v/>
      </c>
      <c r="T3881">
        <f>IMAGE("https://mitra.stanford.edu/kundaje/oak/projects/neuro-variants/variant_position/credible/roussos_2024/variant_figures/roussos_2024.infant.GLU/rs78759621_profile_position.png",4,220,900)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-0.0158748668</v>
      </c>
      <c r="G3882" t="n">
        <v>0.5136006298883433</v>
      </c>
      <c r="H3882" t="n">
        <v>0.0347707589293972</v>
      </c>
      <c r="I3882" t="n">
        <v>0.0345962616487889</v>
      </c>
      <c r="J3882" t="n">
        <v>0.0196488017813443</v>
      </c>
      <c r="K3882" t="n">
        <v>0.5387654377393618</v>
      </c>
      <c r="L3882" t="b">
        <v>0</v>
      </c>
      <c r="M3882" t="b">
        <v>0</v>
      </c>
      <c r="N3882" t="inlineStr">
        <is>
          <t>ref</t>
        </is>
      </c>
      <c r="O3882" t="n">
        <v>-100</v>
      </c>
      <c r="P3882" t="n">
        <v>0.004646</v>
      </c>
      <c r="Q3882" t="n">
        <v>-70</v>
      </c>
      <c r="R3882" t="n">
        <v>0.04474</v>
      </c>
      <c r="S3882">
        <f>IMAGE("https://mitra.stanford.edu/kundaje/oak/projects/neuro-variants/variant_position/credible/roussos_2024/variant_figures/roussos_2024.infant.GLU/rs16882072_count_position.png",4,220,900)</f>
        <v/>
      </c>
      <c r="T3882">
        <f>IMAGE("https://mitra.stanford.edu/kundaje/oak/projects/neuro-variants/variant_position/credible/roussos_2024/variant_figures/roussos_2024.infant.GLU/rs16882072_profile_position.png",4,220,900)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-0.0120231866</v>
      </c>
      <c r="G3883" t="n">
        <v>0.597566032336393</v>
      </c>
      <c r="H3883" t="n">
        <v>0.03409118503807</v>
      </c>
      <c r="I3883" t="n">
        <v>0.0377051565478901</v>
      </c>
      <c r="J3883" t="n">
        <v>0.0404285808770034</v>
      </c>
      <c r="K3883" t="n">
        <v>0.4015689858527281</v>
      </c>
      <c r="L3883" t="b">
        <v>0</v>
      </c>
      <c r="M3883" t="b">
        <v>0</v>
      </c>
      <c r="N3883" t="inlineStr">
        <is>
          <t>ref</t>
        </is>
      </c>
      <c r="O3883" t="n">
        <v>95</v>
      </c>
      <c r="P3883" t="n">
        <v>0.01196</v>
      </c>
      <c r="Q3883" t="n">
        <v>-50</v>
      </c>
      <c r="R3883" t="n">
        <v>0.10425</v>
      </c>
      <c r="S3883">
        <f>IMAGE("https://mitra.stanford.edu/kundaje/oak/projects/neuro-variants/variant_position/credible/roussos_2024/variant_figures/roussos_2024.infant.GLU/rs11779986_count_position.png",4,220,900)</f>
        <v/>
      </c>
      <c r="T3883">
        <f>IMAGE("https://mitra.stanford.edu/kundaje/oak/projects/neuro-variants/variant_position/credible/roussos_2024/variant_figures/roussos_2024.infant.GLU/rs11779986_profile_position.png",4,220,900)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-0.0284431642</v>
      </c>
      <c r="G3884" t="n">
        <v>0.2042672982533328</v>
      </c>
      <c r="H3884" t="n">
        <v>0.01892976078725</v>
      </c>
      <c r="I3884" t="n">
        <v>0.2194133940763906</v>
      </c>
      <c r="J3884" t="n">
        <v>0.2381302497850481</v>
      </c>
      <c r="K3884" t="n">
        <v>0.0924663788345147</v>
      </c>
      <c r="L3884" t="b">
        <v>0</v>
      </c>
      <c r="M3884" t="b">
        <v>0</v>
      </c>
      <c r="N3884" t="inlineStr">
        <is>
          <t>ref</t>
        </is>
      </c>
      <c r="O3884" t="n">
        <v>-55</v>
      </c>
      <c r="P3884" t="n">
        <v>0.0625</v>
      </c>
      <c r="Q3884" t="n">
        <v>-95</v>
      </c>
      <c r="R3884" t="n">
        <v>0.2241</v>
      </c>
      <c r="S3884">
        <f>IMAGE("https://mitra.stanford.edu/kundaje/oak/projects/neuro-variants/variant_position/credible/roussos_2024/variant_figures/roussos_2024.infant.GLU/rs4537271_count_position.png",4,220,900)</f>
        <v/>
      </c>
      <c r="T3884">
        <f>IMAGE("https://mitra.stanford.edu/kundaje/oak/projects/neuro-variants/variant_position/credible/roussos_2024/variant_figures/roussos_2024.infant.GLU/rs4537271_profile_position.png",4,220,900)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-0.0335796058</v>
      </c>
      <c r="G3885" t="n">
        <v>0.2889061748547559</v>
      </c>
      <c r="H3885" t="n">
        <v>0.07489620496459019</v>
      </c>
      <c r="I3885" t="n">
        <v>0.0009256172751028</v>
      </c>
      <c r="J3885" t="n">
        <v>0.024824180427258</v>
      </c>
      <c r="K3885" t="n">
        <v>0.4941951267355088</v>
      </c>
      <c r="L3885" t="b">
        <v>1</v>
      </c>
      <c r="M3885" t="b">
        <v>0</v>
      </c>
      <c r="N3885" t="inlineStr">
        <is>
          <t>ref</t>
        </is>
      </c>
      <c r="O3885" t="n">
        <v>-45</v>
      </c>
      <c r="P3885" t="n">
        <v>0.00293</v>
      </c>
      <c r="Q3885" t="n">
        <v>55</v>
      </c>
      <c r="R3885" t="n">
        <v>0.04993</v>
      </c>
      <c r="S3885">
        <f>IMAGE("https://mitra.stanford.edu/kundaje/oak/projects/neuro-variants/variant_position/credible/roussos_2024/variant_figures/roussos_2024.infant.GLU/rs111373244_count_position.png",4,220,900)</f>
        <v/>
      </c>
      <c r="T3885">
        <f>IMAGE("https://mitra.stanford.edu/kundaje/oak/projects/neuro-variants/variant_position/credible/roussos_2024/variant_figures/roussos_2024.infant.GLU/rs111373244_profile_position.png",4,220,900)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-0.01683001734</v>
      </c>
      <c r="G3886" t="n">
        <v>0.5040421689257099</v>
      </c>
      <c r="H3886" t="n">
        <v>0.09379578973942761</v>
      </c>
      <c r="I3886" t="n">
        <v>0.0002832764296024</v>
      </c>
      <c r="J3886" t="n">
        <v>0.0208029277541391</v>
      </c>
      <c r="K3886" t="n">
        <v>0.5322074316073913</v>
      </c>
      <c r="L3886" t="b">
        <v>1</v>
      </c>
      <c r="M3886" t="b">
        <v>0</v>
      </c>
      <c r="N3886" t="inlineStr">
        <is>
          <t>ref</t>
        </is>
      </c>
      <c r="O3886" t="n">
        <v>-100</v>
      </c>
      <c r="P3886" t="n">
        <v>0.01318</v>
      </c>
      <c r="Q3886" t="n">
        <v>-100</v>
      </c>
      <c r="R3886" t="n">
        <v>0.199</v>
      </c>
      <c r="S3886">
        <f>IMAGE("https://mitra.stanford.edu/kundaje/oak/projects/neuro-variants/variant_position/credible/roussos_2024/variant_figures/roussos_2024.infant.GLU/rs150171772_count_position.png",4,220,900)</f>
        <v/>
      </c>
      <c r="T3886">
        <f>IMAGE("https://mitra.stanford.edu/kundaje/oak/projects/neuro-variants/variant_position/credible/roussos_2024/variant_figures/roussos_2024.infant.GLU/rs150171772_profile_position.png",4,220,900)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0.09169106439999999</v>
      </c>
      <c r="G3887" t="n">
        <v>0.0592340178214088</v>
      </c>
      <c r="H3887" t="n">
        <v>0.041143706782838</v>
      </c>
      <c r="I3887" t="n">
        <v>0.0180523017952048</v>
      </c>
      <c r="J3887" t="n">
        <v>0.0915121585572873</v>
      </c>
      <c r="K3887" t="n">
        <v>0.2203365241516572</v>
      </c>
      <c r="L3887" t="b">
        <v>1</v>
      </c>
      <c r="M3887" t="b">
        <v>0</v>
      </c>
      <c r="N3887" t="inlineStr">
        <is>
          <t>alt</t>
        </is>
      </c>
      <c r="O3887" t="n">
        <v>-90</v>
      </c>
      <c r="P3887" t="n">
        <v>0.005913</v>
      </c>
      <c r="Q3887" t="n">
        <v>-5</v>
      </c>
      <c r="R3887" t="n">
        <v>0.0001221</v>
      </c>
      <c r="S3887">
        <f>IMAGE("https://mitra.stanford.edu/kundaje/oak/projects/neuro-variants/variant_position/credible/roussos_2024/variant_figures/roussos_2024.infant.GLU/rs10103315_count_position.png",4,220,900)</f>
        <v/>
      </c>
      <c r="T3887">
        <f>IMAGE("https://mitra.stanford.edu/kundaje/oak/projects/neuro-variants/variant_position/credible/roussos_2024/variant_figures/roussos_2024.infant.GLU/rs10103315_profile_position.png",4,220,900)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-0.0246453191</v>
      </c>
      <c r="G3888" t="n">
        <v>0.3833776507565941</v>
      </c>
      <c r="H3888" t="n">
        <v>0.0165974839511819</v>
      </c>
      <c r="I3888" t="n">
        <v>0.2961487372582529</v>
      </c>
      <c r="J3888" t="n">
        <v>0.0015818249961418</v>
      </c>
      <c r="K3888" t="n">
        <v>0.8580047675560004</v>
      </c>
      <c r="L3888" t="b">
        <v>0</v>
      </c>
      <c r="M3888" t="b">
        <v>0</v>
      </c>
      <c r="N3888" t="inlineStr">
        <is>
          <t>ref</t>
        </is>
      </c>
      <c r="O3888" t="n">
        <v>-10</v>
      </c>
      <c r="P3888" t="n">
        <v>0.0008545</v>
      </c>
      <c r="Q3888" t="n">
        <v>75</v>
      </c>
      <c r="R3888" t="n">
        <v>0.1098</v>
      </c>
      <c r="S3888">
        <f>IMAGE("https://mitra.stanford.edu/kundaje/oak/projects/neuro-variants/variant_position/credible/roussos_2024/variant_figures/roussos_2024.infant.GLU/rs56058270_count_position.png",4,220,900)</f>
        <v/>
      </c>
      <c r="T3888">
        <f>IMAGE("https://mitra.stanford.edu/kundaje/oak/projects/neuro-variants/variant_position/credible/roussos_2024/variant_figures/roussos_2024.infant.GLU/rs56058270_profile_position.png",4,220,900)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0.0192407353999999</v>
      </c>
      <c r="G3889" t="n">
        <v>0.3048652815767532</v>
      </c>
      <c r="H3889" t="n">
        <v>0.0158259622217125</v>
      </c>
      <c r="I3889" t="n">
        <v>0.3224110589389111</v>
      </c>
      <c r="J3889" t="n">
        <v>0.1307579532176634</v>
      </c>
      <c r="K3889" t="n">
        <v>0.1686014783271583</v>
      </c>
      <c r="L3889" t="b">
        <v>0</v>
      </c>
      <c r="M3889" t="b">
        <v>0</v>
      </c>
      <c r="N3889" t="inlineStr">
        <is>
          <t>alt</t>
        </is>
      </c>
      <c r="O3889" t="n">
        <v>-80</v>
      </c>
      <c r="P3889" t="n">
        <v>0.00647</v>
      </c>
      <c r="Q3889" t="n">
        <v>50</v>
      </c>
      <c r="R3889" t="n">
        <v>0.01685</v>
      </c>
      <c r="S3889">
        <f>IMAGE("https://mitra.stanford.edu/kundaje/oak/projects/neuro-variants/variant_position/credible/roussos_2024/variant_figures/roussos_2024.infant.GLU/rs57984710_count_position.png",4,220,900)</f>
        <v/>
      </c>
      <c r="T3889">
        <f>IMAGE("https://mitra.stanford.edu/kundaje/oak/projects/neuro-variants/variant_position/credible/roussos_2024/variant_figures/roussos_2024.infant.GLU/rs57984710_profile_position.png",4,220,900)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-0.09667118500000001</v>
      </c>
      <c r="G3890" t="n">
        <v>0.0529955126250321</v>
      </c>
      <c r="H3890" t="n">
        <v>0.0194214790303643</v>
      </c>
      <c r="I3890" t="n">
        <v>0.1998016761537438</v>
      </c>
      <c r="J3890" t="n">
        <v>0.1147809695980951</v>
      </c>
      <c r="K3890" t="n">
        <v>0.1934995992424759</v>
      </c>
      <c r="L3890" t="b">
        <v>0</v>
      </c>
      <c r="M3890" t="b">
        <v>0</v>
      </c>
      <c r="N3890" t="inlineStr">
        <is>
          <t>ref</t>
        </is>
      </c>
      <c r="O3890" t="n">
        <v>-10</v>
      </c>
      <c r="P3890" t="n">
        <v>0.002602</v>
      </c>
      <c r="Q3890" t="n">
        <v>-100</v>
      </c>
      <c r="R3890" t="n">
        <v>0.05096</v>
      </c>
      <c r="S3890">
        <f>IMAGE("https://mitra.stanford.edu/kundaje/oak/projects/neuro-variants/variant_position/credible/roussos_2024/variant_figures/roussos_2024.infant.GLU/rs1488934_count_position.png",4,220,900)</f>
        <v/>
      </c>
      <c r="T3890">
        <f>IMAGE("https://mitra.stanford.edu/kundaje/oak/projects/neuro-variants/variant_position/credible/roussos_2024/variant_figures/roussos_2024.infant.GLU/rs1488934_profile_position.png",4,220,900)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0.146765499</v>
      </c>
      <c r="G3891" t="n">
        <v>0.0268478233330721</v>
      </c>
      <c r="H3891" t="n">
        <v>0.031276728886656</v>
      </c>
      <c r="I3891" t="n">
        <v>0.0526775884923972</v>
      </c>
      <c r="J3891" t="n">
        <v>0.1325988227253687</v>
      </c>
      <c r="K3891" t="n">
        <v>0.1723551052799779</v>
      </c>
      <c r="L3891" t="b">
        <v>0</v>
      </c>
      <c r="M3891" t="b">
        <v>0</v>
      </c>
      <c r="N3891" t="inlineStr">
        <is>
          <t>alt</t>
        </is>
      </c>
      <c r="O3891" t="n">
        <v>15</v>
      </c>
      <c r="P3891" t="n">
        <v>0.002014</v>
      </c>
      <c r="Q3891" t="n">
        <v>100</v>
      </c>
      <c r="R3891" t="n">
        <v>0.0907</v>
      </c>
      <c r="S3891">
        <f>IMAGE("https://mitra.stanford.edu/kundaje/oak/projects/neuro-variants/variant_position/credible/roussos_2024/variant_figures/roussos_2024.infant.GLU/rs1488935_count_position.png",4,220,900)</f>
        <v/>
      </c>
      <c r="T3891">
        <f>IMAGE("https://mitra.stanford.edu/kundaje/oak/projects/neuro-variants/variant_position/credible/roussos_2024/variant_figures/roussos_2024.infant.GLU/rs1488935_profile_position.png",4,220,900)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0.0163830930399999</v>
      </c>
      <c r="G3892" t="n">
        <v>0.4958034546607716</v>
      </c>
      <c r="H3892" t="n">
        <v>0.011296031514292</v>
      </c>
      <c r="I3892" t="n">
        <v>0.611627194140118</v>
      </c>
      <c r="J3892" t="n">
        <v>0.0483310919552899</v>
      </c>
      <c r="K3892" t="n">
        <v>0.3542883717542808</v>
      </c>
      <c r="L3892" t="b">
        <v>0</v>
      </c>
      <c r="M3892" t="b">
        <v>0</v>
      </c>
      <c r="N3892" t="inlineStr">
        <is>
          <t>alt</t>
        </is>
      </c>
      <c r="O3892" t="n">
        <v>-100</v>
      </c>
      <c r="P3892" t="n">
        <v>0.00958</v>
      </c>
      <c r="Q3892" t="n">
        <v>95</v>
      </c>
      <c r="R3892" t="n">
        <v>0.044</v>
      </c>
      <c r="S3892">
        <f>IMAGE("https://mitra.stanford.edu/kundaje/oak/projects/neuro-variants/variant_position/credible/roussos_2024/variant_figures/roussos_2024.infant.GLU/rs12674515_count_position.png",4,220,900)</f>
        <v/>
      </c>
      <c r="T3892">
        <f>IMAGE("https://mitra.stanford.edu/kundaje/oak/projects/neuro-variants/variant_position/credible/roussos_2024/variant_figures/roussos_2024.infant.GLU/rs12674515_profile_position.png",4,220,900)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-0.01129156244</v>
      </c>
      <c r="G3893" t="n">
        <v>0.6153699439888316</v>
      </c>
      <c r="H3893" t="n">
        <v>0.0252286167269234</v>
      </c>
      <c r="I3893" t="n">
        <v>0.09763410166756339</v>
      </c>
      <c r="J3893" t="n">
        <v>0.0214554994598645</v>
      </c>
      <c r="K3893" t="n">
        <v>0.529305464040058</v>
      </c>
      <c r="L3893" t="b">
        <v>0</v>
      </c>
      <c r="M3893" t="b">
        <v>0</v>
      </c>
      <c r="N3893" t="inlineStr">
        <is>
          <t>ref</t>
        </is>
      </c>
      <c r="O3893" t="n">
        <v>60</v>
      </c>
      <c r="P3893" t="n">
        <v>0.00432</v>
      </c>
      <c r="Q3893" t="n">
        <v>-15</v>
      </c>
      <c r="R3893" t="n">
        <v>0.02448</v>
      </c>
      <c r="S3893">
        <f>IMAGE("https://mitra.stanford.edu/kundaje/oak/projects/neuro-variants/variant_position/credible/roussos_2024/variant_figures/roussos_2024.infant.GLU/rs7845284_count_position.png",4,220,900)</f>
        <v/>
      </c>
      <c r="T3893">
        <f>IMAGE("https://mitra.stanford.edu/kundaje/oak/projects/neuro-variants/variant_position/credible/roussos_2024/variant_figures/roussos_2024.infant.GLU/rs7845284_profile_position.png",4,220,900)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-0.017668148</v>
      </c>
      <c r="G3894" t="n">
        <v>0.2976362594407547</v>
      </c>
      <c r="H3894" t="n">
        <v>0.0210214942957778</v>
      </c>
      <c r="I3894" t="n">
        <v>0.1674461331912473</v>
      </c>
      <c r="J3894" t="n">
        <v>0.049718909147027</v>
      </c>
      <c r="K3894" t="n">
        <v>0.3441003485976886</v>
      </c>
      <c r="L3894" t="b">
        <v>0</v>
      </c>
      <c r="M3894" t="b">
        <v>0</v>
      </c>
      <c r="N3894" t="inlineStr">
        <is>
          <t>ref</t>
        </is>
      </c>
      <c r="O3894" t="n">
        <v>-60</v>
      </c>
      <c r="P3894" t="n">
        <v>0.013794</v>
      </c>
      <c r="Q3894" t="n">
        <v>45</v>
      </c>
      <c r="R3894" t="n">
        <v>0.02466</v>
      </c>
      <c r="S3894">
        <f>IMAGE("https://mitra.stanford.edu/kundaje/oak/projects/neuro-variants/variant_position/credible/roussos_2024/variant_figures/roussos_2024.infant.GLU/rs7823681_count_position.png",4,220,900)</f>
        <v/>
      </c>
      <c r="T3894">
        <f>IMAGE("https://mitra.stanford.edu/kundaje/oak/projects/neuro-variants/variant_position/credible/roussos_2024/variant_figures/roussos_2024.infant.GLU/rs7823681_profile_position.png",4,220,900)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0.0226043067999999</v>
      </c>
      <c r="G3895" t="n">
        <v>0.4161552621016803</v>
      </c>
      <c r="H3895" t="n">
        <v>0.0127776840370304</v>
      </c>
      <c r="I3895" t="n">
        <v>0.4994615469577452</v>
      </c>
      <c r="J3895" t="n">
        <v>0.0274377742013712</v>
      </c>
      <c r="K3895" t="n">
        <v>0.4708177481922444</v>
      </c>
      <c r="L3895" t="b">
        <v>0</v>
      </c>
      <c r="M3895" t="b">
        <v>0</v>
      </c>
      <c r="N3895" t="inlineStr">
        <is>
          <t>alt</t>
        </is>
      </c>
      <c r="O3895" t="n">
        <v>60</v>
      </c>
      <c r="P3895" t="n">
        <v>0.02881</v>
      </c>
      <c r="Q3895" t="n">
        <v>20</v>
      </c>
      <c r="R3895" t="n">
        <v>0.013306</v>
      </c>
      <c r="S3895">
        <f>IMAGE("https://mitra.stanford.edu/kundaje/oak/projects/neuro-variants/variant_position/credible/roussos_2024/variant_figures/roussos_2024.infant.GLU/rs12386951_count_position.png",4,220,900)</f>
        <v/>
      </c>
      <c r="T3895">
        <f>IMAGE("https://mitra.stanford.edu/kundaje/oak/projects/neuro-variants/variant_position/credible/roussos_2024/variant_figures/roussos_2024.infant.GLU/rs12386951_profile_position.png",4,220,900)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0.08642299959999999</v>
      </c>
      <c r="G3896" t="n">
        <v>0.0671853330558464</v>
      </c>
      <c r="H3896" t="n">
        <v>0.0141799438227875</v>
      </c>
      <c r="I3896" t="n">
        <v>0.4098580402278962</v>
      </c>
      <c r="J3896" t="n">
        <v>0.3558279503516391</v>
      </c>
      <c r="K3896" t="n">
        <v>0.0538735340437873</v>
      </c>
      <c r="L3896" t="b">
        <v>0</v>
      </c>
      <c r="M3896" t="b">
        <v>0</v>
      </c>
      <c r="N3896" t="inlineStr">
        <is>
          <t>alt</t>
        </is>
      </c>
      <c r="O3896" t="n">
        <v>100</v>
      </c>
      <c r="P3896" t="n">
        <v>0.008240000000000001</v>
      </c>
      <c r="Q3896" t="n">
        <v>35</v>
      </c>
      <c r="R3896" t="n">
        <v>0.0337</v>
      </c>
      <c r="S3896">
        <f>IMAGE("https://mitra.stanford.edu/kundaje/oak/projects/neuro-variants/variant_position/credible/roussos_2024/variant_figures/roussos_2024.infant.GLU/rs28634296_count_position.png",4,220,900)</f>
        <v/>
      </c>
      <c r="T3896">
        <f>IMAGE("https://mitra.stanford.edu/kundaje/oak/projects/neuro-variants/variant_position/credible/roussos_2024/variant_figures/roussos_2024.infant.GLU/rs28634296_profile_position.png",4,220,900)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0.0013103186599999</v>
      </c>
      <c r="G3897" t="n">
        <v>0.7475221991352522</v>
      </c>
      <c r="H3897" t="n">
        <v>0.0111489235034383</v>
      </c>
      <c r="I3897" t="n">
        <v>0.6338197304868076</v>
      </c>
      <c r="J3897" t="n">
        <v>0.06485702947595839</v>
      </c>
      <c r="K3897" t="n">
        <v>0.2907783879308847</v>
      </c>
      <c r="L3897" t="b">
        <v>0</v>
      </c>
      <c r="M3897" t="b">
        <v>0</v>
      </c>
      <c r="N3897" t="inlineStr">
        <is>
          <t>alt</t>
        </is>
      </c>
      <c r="O3897" t="n">
        <v>-95</v>
      </c>
      <c r="P3897" t="n">
        <v>0.1061</v>
      </c>
      <c r="Q3897" t="n">
        <v>70</v>
      </c>
      <c r="R3897" t="n">
        <v>0.0799</v>
      </c>
      <c r="S3897">
        <f>IMAGE("https://mitra.stanford.edu/kundaje/oak/projects/neuro-variants/variant_position/credible/roussos_2024/variant_figures/roussos_2024.infant.GLU/rs2130033_count_position.png",4,220,900)</f>
        <v/>
      </c>
      <c r="T3897">
        <f>IMAGE("https://mitra.stanford.edu/kundaje/oak/projects/neuro-variants/variant_position/credible/roussos_2024/variant_figures/roussos_2024.infant.GLU/rs2130033_profile_position.png",4,220,900)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0.0471476178</v>
      </c>
      <c r="G3898" t="n">
        <v>0.179703972573887</v>
      </c>
      <c r="H3898" t="n">
        <v>0.0072576823480165</v>
      </c>
      <c r="I3898" t="n">
        <v>0.952533562217845</v>
      </c>
      <c r="J3898" t="n">
        <v>0.0025364315791793</v>
      </c>
      <c r="K3898" t="n">
        <v>0.8261650599605449</v>
      </c>
      <c r="L3898" t="b">
        <v>0</v>
      </c>
      <c r="M3898" t="b">
        <v>0</v>
      </c>
      <c r="N3898" t="inlineStr">
        <is>
          <t>alt</t>
        </is>
      </c>
      <c r="O3898" t="n">
        <v>95</v>
      </c>
      <c r="P3898" t="n">
        <v>0.008</v>
      </c>
      <c r="Q3898" t="n">
        <v>90</v>
      </c>
      <c r="R3898" t="n">
        <v>0.0791</v>
      </c>
      <c r="S3898">
        <f>IMAGE("https://mitra.stanford.edu/kundaje/oak/projects/neuro-variants/variant_position/credible/roussos_2024/variant_figures/roussos_2024.infant.GLU/rs16887343_count_position.png",4,220,900)</f>
        <v/>
      </c>
      <c r="T3898">
        <f>IMAGE("https://mitra.stanford.edu/kundaje/oak/projects/neuro-variants/variant_position/credible/roussos_2024/variant_figures/roussos_2024.infant.GLU/rs16887343_profile_position.png",4,220,900)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0.0110988694199999</v>
      </c>
      <c r="G3899" t="n">
        <v>0.6087413667508359</v>
      </c>
      <c r="H3899" t="n">
        <v>0.0193261365390918</v>
      </c>
      <c r="I3899" t="n">
        <v>0.199554396892766</v>
      </c>
      <c r="J3899" t="n">
        <v>0.9417227011177496</v>
      </c>
      <c r="K3899" t="n">
        <v>0.0015094124451062</v>
      </c>
      <c r="L3899" t="b">
        <v>0</v>
      </c>
      <c r="M3899" t="b">
        <v>0</v>
      </c>
      <c r="N3899" t="inlineStr">
        <is>
          <t>alt</t>
        </is>
      </c>
      <c r="O3899" t="n">
        <v>70</v>
      </c>
      <c r="P3899" t="n">
        <v>0.00415</v>
      </c>
      <c r="Q3899" t="n">
        <v>-65</v>
      </c>
      <c r="R3899" t="n">
        <v>0.049</v>
      </c>
      <c r="S3899">
        <f>IMAGE("https://mitra.stanford.edu/kundaje/oak/projects/neuro-variants/variant_position/credible/roussos_2024/variant_figures/roussos_2024.infant.GLU/rs60558877_count_position.png",4,220,900)</f>
        <v/>
      </c>
      <c r="T3899">
        <f>IMAGE("https://mitra.stanford.edu/kundaje/oak/projects/neuro-variants/variant_position/credible/roussos_2024/variant_figures/roussos_2024.infant.GLU/rs60558877_profile_position.png",4,220,900)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-0.1747405</v>
      </c>
      <c r="G3900" t="n">
        <v>0.0168237084950887</v>
      </c>
      <c r="H3900" t="n">
        <v>0.030997733964467</v>
      </c>
      <c r="I3900" t="n">
        <v>0.0556003416456351</v>
      </c>
      <c r="J3900" t="n">
        <v>0.055151127670363</v>
      </c>
      <c r="K3900" t="n">
        <v>0.3241412693481857</v>
      </c>
      <c r="L3900" t="b">
        <v>1</v>
      </c>
      <c r="M3900" t="b">
        <v>0</v>
      </c>
      <c r="N3900" t="inlineStr">
        <is>
          <t>ref</t>
        </is>
      </c>
      <c r="O3900" t="n">
        <v>-80</v>
      </c>
      <c r="P3900" t="n">
        <v>0.0107</v>
      </c>
      <c r="Q3900" t="n">
        <v>95</v>
      </c>
      <c r="R3900" t="n">
        <v>0.2998</v>
      </c>
      <c r="S3900">
        <f>IMAGE("https://mitra.stanford.edu/kundaje/oak/projects/neuro-variants/variant_position/credible/roussos_2024/variant_figures/roussos_2024.infant.GLU/rs2016875_count_position.png",4,220,900)</f>
        <v/>
      </c>
      <c r="T3900">
        <f>IMAGE("https://mitra.stanford.edu/kundaje/oak/projects/neuro-variants/variant_position/credible/roussos_2024/variant_figures/roussos_2024.infant.GLU/rs2016875_profile_position.png",4,220,900)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0.0008586749999999</v>
      </c>
      <c r="G3901" t="n">
        <v>0.7269548700230736</v>
      </c>
      <c r="H3901" t="n">
        <v>0.0080489534724474</v>
      </c>
      <c r="I3901" t="n">
        <v>0.8730713730428826</v>
      </c>
      <c r="J3901" t="n">
        <v>0.0032397098701469</v>
      </c>
      <c r="K3901" t="n">
        <v>0.8051092464671011</v>
      </c>
      <c r="L3901" t="b">
        <v>0</v>
      </c>
      <c r="M3901" t="b">
        <v>0</v>
      </c>
      <c r="N3901" t="inlineStr">
        <is>
          <t>alt</t>
        </is>
      </c>
      <c r="O3901" t="n">
        <v>-100</v>
      </c>
      <c r="P3901" t="n">
        <v>0.015144</v>
      </c>
      <c r="Q3901" t="n">
        <v>-100</v>
      </c>
      <c r="R3901" t="n">
        <v>0.0788</v>
      </c>
      <c r="S3901">
        <f>IMAGE("https://mitra.stanford.edu/kundaje/oak/projects/neuro-variants/variant_position/credible/roussos_2024/variant_figures/roussos_2024.infant.GLU/rs28681082_count_position.png",4,220,900)</f>
        <v/>
      </c>
      <c r="T3901">
        <f>IMAGE("https://mitra.stanford.edu/kundaje/oak/projects/neuro-variants/variant_position/credible/roussos_2024/variant_figures/roussos_2024.infant.GLU/rs28681082_profile_position.png",4,220,900)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0.1273376868</v>
      </c>
      <c r="G3902" t="n">
        <v>0.0324436983097327</v>
      </c>
      <c r="H3902" t="n">
        <v>0.0252437315117812</v>
      </c>
      <c r="I3902" t="n">
        <v>0.1024530178262754</v>
      </c>
      <c r="J3902" t="n">
        <v>0.2144447628915981</v>
      </c>
      <c r="K3902" t="n">
        <v>0.1037754226125904</v>
      </c>
      <c r="L3902" t="b">
        <v>0</v>
      </c>
      <c r="M3902" t="b">
        <v>0</v>
      </c>
      <c r="N3902" t="inlineStr">
        <is>
          <t>alt</t>
        </is>
      </c>
      <c r="O3902" t="n">
        <v>100</v>
      </c>
      <c r="P3902" t="n">
        <v>0.01369</v>
      </c>
      <c r="Q3902" t="n">
        <v>0</v>
      </c>
      <c r="R3902" t="n">
        <v>0</v>
      </c>
      <c r="S3902">
        <f>IMAGE("https://mitra.stanford.edu/kundaje/oak/projects/neuro-variants/variant_position/credible/roussos_2024/variant_figures/roussos_2024.infant.GLU/rs4647905_count_position.png",4,220,900)</f>
        <v/>
      </c>
      <c r="T3902">
        <f>IMAGE("https://mitra.stanford.edu/kundaje/oak/projects/neuro-variants/variant_position/credible/roussos_2024/variant_figures/roussos_2024.infant.GLU/rs4647905_profile_position.png",4,220,900)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-0.0359627035999999</v>
      </c>
      <c r="G3903" t="n">
        <v>0.2705387324294069</v>
      </c>
      <c r="H3903" t="n">
        <v>0.009900022559076901</v>
      </c>
      <c r="I3903" t="n">
        <v>0.7446713971080999</v>
      </c>
      <c r="J3903" t="n">
        <v>0.3894519279525562</v>
      </c>
      <c r="K3903" t="n">
        <v>0.0472192004967493</v>
      </c>
      <c r="L3903" t="b">
        <v>0</v>
      </c>
      <c r="M3903" t="b">
        <v>0</v>
      </c>
      <c r="N3903" t="inlineStr">
        <is>
          <t>ref</t>
        </is>
      </c>
      <c r="O3903" t="n">
        <v>50</v>
      </c>
      <c r="P3903" t="n">
        <v>0.005226</v>
      </c>
      <c r="Q3903" t="n">
        <v>-100</v>
      </c>
      <c r="R3903" t="n">
        <v>0.1864</v>
      </c>
      <c r="S3903">
        <f>IMAGE("https://mitra.stanford.edu/kundaje/oak/projects/neuro-variants/variant_position/credible/roussos_2024/variant_figures/roussos_2024.infant.GLU/rs4647907_count_position.png",4,220,900)</f>
        <v/>
      </c>
      <c r="T3903">
        <f>IMAGE("https://mitra.stanford.edu/kundaje/oak/projects/neuro-variants/variant_position/credible/roussos_2024/variant_figures/roussos_2024.infant.GLU/rs4647907_profile_position.png",4,220,900)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-0.3237276839999999</v>
      </c>
      <c r="G3904" t="n">
        <v>0.0025671544890795</v>
      </c>
      <c r="H3904" t="n">
        <v>0.0494443598845639</v>
      </c>
      <c r="I3904" t="n">
        <v>0.008818498517226599</v>
      </c>
      <c r="J3904" t="n">
        <v>0.3610452170462311</v>
      </c>
      <c r="K3904" t="n">
        <v>0.0527542272818658</v>
      </c>
      <c r="L3904" t="b">
        <v>1</v>
      </c>
      <c r="M3904" t="b">
        <v>1</v>
      </c>
      <c r="N3904" t="inlineStr">
        <is>
          <t>ref</t>
        </is>
      </c>
      <c r="O3904" t="n">
        <v>65</v>
      </c>
      <c r="P3904" t="n">
        <v>0.00406</v>
      </c>
      <c r="Q3904" t="n">
        <v>-35</v>
      </c>
      <c r="R3904" t="n">
        <v>0.04614</v>
      </c>
      <c r="S3904">
        <f>IMAGE("https://mitra.stanford.edu/kundaje/oak/projects/neuro-variants/variant_position/credible/roussos_2024/variant_figures/roussos_2024.infant.GLU/rs7005874_count_position.png",4,220,900)</f>
        <v/>
      </c>
      <c r="T3904">
        <f>IMAGE("https://mitra.stanford.edu/kundaje/oak/projects/neuro-variants/variant_position/credible/roussos_2024/variant_figures/roussos_2024.infant.GLU/rs7005874_profile_position.png",4,220,900)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-0.0418260634</v>
      </c>
      <c r="G3905" t="n">
        <v>0.2283823950552661</v>
      </c>
      <c r="H3905" t="n">
        <v>0.0120819544055597</v>
      </c>
      <c r="I3905" t="n">
        <v>0.5524667216994487</v>
      </c>
      <c r="J3905" t="n">
        <v>0.0254580127427852</v>
      </c>
      <c r="K3905" t="n">
        <v>0.4967733497416426</v>
      </c>
      <c r="L3905" t="b">
        <v>0</v>
      </c>
      <c r="M3905" t="b">
        <v>0</v>
      </c>
      <c r="N3905" t="inlineStr">
        <is>
          <t>ref</t>
        </is>
      </c>
      <c r="O3905" t="n">
        <v>100</v>
      </c>
      <c r="P3905" t="n">
        <v>0.006702</v>
      </c>
      <c r="Q3905" t="n">
        <v>65</v>
      </c>
      <c r="R3905" t="n">
        <v>0.04227</v>
      </c>
      <c r="S3905">
        <f>IMAGE("https://mitra.stanford.edu/kundaje/oak/projects/neuro-variants/variant_position/credible/roussos_2024/variant_figures/roussos_2024.infant.GLU/rs62640287_count_position.png",4,220,900)</f>
        <v/>
      </c>
      <c r="T3905">
        <f>IMAGE("https://mitra.stanford.edu/kundaje/oak/projects/neuro-variants/variant_position/credible/roussos_2024/variant_figures/roussos_2024.infant.GLU/rs62640287_profile_position.png",4,220,900)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-0.007992791900000001</v>
      </c>
      <c r="G3906" t="n">
        <v>0.6326112927092881</v>
      </c>
      <c r="H3906" t="n">
        <v>0.008428193512888199</v>
      </c>
      <c r="I3906" t="n">
        <v>0.8569945291208427</v>
      </c>
      <c r="J3906" t="n">
        <v>0.4692696047090985</v>
      </c>
      <c r="K3906" t="n">
        <v>0.0345426485138972</v>
      </c>
      <c r="L3906" t="b">
        <v>0</v>
      </c>
      <c r="M3906" t="b">
        <v>0</v>
      </c>
      <c r="N3906" t="inlineStr">
        <is>
          <t>ref</t>
        </is>
      </c>
      <c r="O3906" t="n">
        <v>85</v>
      </c>
      <c r="P3906" t="n">
        <v>0.01318</v>
      </c>
      <c r="Q3906" t="n">
        <v>-25</v>
      </c>
      <c r="R3906" t="n">
        <v>0.03537</v>
      </c>
      <c r="S3906">
        <f>IMAGE("https://mitra.stanford.edu/kundaje/oak/projects/neuro-variants/variant_position/credible/roussos_2024/variant_figures/roussos_2024.infant.GLU/rs16890077_count_position.png",4,220,900)</f>
        <v/>
      </c>
      <c r="T3906">
        <f>IMAGE("https://mitra.stanford.edu/kundaje/oak/projects/neuro-variants/variant_position/credible/roussos_2024/variant_figures/roussos_2024.infant.GLU/rs16890077_profile_position.png",4,220,900)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-0.0019709097999999</v>
      </c>
      <c r="G3907" t="n">
        <v>0.7747658222093078</v>
      </c>
      <c r="H3907" t="n">
        <v>0.0322574061566879</v>
      </c>
      <c r="I3907" t="n">
        <v>0.0452133874531941</v>
      </c>
      <c r="J3907" t="n">
        <v>0.023621552503362</v>
      </c>
      <c r="K3907" t="n">
        <v>0.5079426882666257</v>
      </c>
      <c r="L3907" t="b">
        <v>0</v>
      </c>
      <c r="M3907" t="b">
        <v>0</v>
      </c>
      <c r="N3907" t="inlineStr">
        <is>
          <t>ref</t>
        </is>
      </c>
      <c r="O3907" t="n">
        <v>100</v>
      </c>
      <c r="P3907" t="n">
        <v>0.00928</v>
      </c>
      <c r="Q3907" t="n">
        <v>0</v>
      </c>
      <c r="R3907" t="n">
        <v>0</v>
      </c>
      <c r="S3907">
        <f>IMAGE("https://mitra.stanford.edu/kundaje/oak/projects/neuro-variants/variant_position/credible/roussos_2024/variant_figures/roussos_2024.infant.GLU/rs4498530_count_position.png",4,220,900)</f>
        <v/>
      </c>
      <c r="T3907">
        <f>IMAGE("https://mitra.stanford.edu/kundaje/oak/projects/neuro-variants/variant_position/credible/roussos_2024/variant_figures/roussos_2024.infant.GLU/rs4498530_profile_position.png",4,220,900)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-0.1337293258</v>
      </c>
      <c r="G3908" t="n">
        <v>0.0311818705729384</v>
      </c>
      <c r="H3908" t="n">
        <v>0.0244830667883278</v>
      </c>
      <c r="I3908" t="n">
        <v>0.1140322845986496</v>
      </c>
      <c r="J3908" t="n">
        <v>0.0526345377984522</v>
      </c>
      <c r="K3908" t="n">
        <v>0.326612898201719</v>
      </c>
      <c r="L3908" t="b">
        <v>0</v>
      </c>
      <c r="M3908" t="b">
        <v>0</v>
      </c>
      <c r="N3908" t="inlineStr">
        <is>
          <t>ref</t>
        </is>
      </c>
      <c r="O3908" t="n">
        <v>85</v>
      </c>
      <c r="P3908" t="n">
        <v>0.03564</v>
      </c>
      <c r="Q3908" t="n">
        <v>-45</v>
      </c>
      <c r="R3908" t="n">
        <v>0.01587</v>
      </c>
      <c r="S3908">
        <f>IMAGE("https://mitra.stanford.edu/kundaje/oak/projects/neuro-variants/variant_position/credible/roussos_2024/variant_figures/roussos_2024.infant.GLU/rs10105030_count_position.png",4,220,900)</f>
        <v/>
      </c>
      <c r="T3908">
        <f>IMAGE("https://mitra.stanford.edu/kundaje/oak/projects/neuro-variants/variant_position/credible/roussos_2024/variant_figures/roussos_2024.infant.GLU/rs10105030_profile_position.png",4,220,900)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0.0218771329</v>
      </c>
      <c r="G3909" t="n">
        <v>0.4137992170090066</v>
      </c>
      <c r="H3909" t="n">
        <v>0.050399824395574</v>
      </c>
      <c r="I3909" t="n">
        <v>0.0073842145971287</v>
      </c>
      <c r="J3909" t="n">
        <v>0.0158590356930266</v>
      </c>
      <c r="K3909" t="n">
        <v>0.5774474030197722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0.0784</v>
      </c>
      <c r="Q3909" t="n">
        <v>-100</v>
      </c>
      <c r="R3909" t="n">
        <v>0.08057</v>
      </c>
      <c r="S3909">
        <f>IMAGE("https://mitra.stanford.edu/kundaje/oak/projects/neuro-variants/variant_position/credible/roussos_2024/variant_figures/roussos_2024.infant.GLU/rs4873621_count_position.png",4,220,900)</f>
        <v/>
      </c>
      <c r="T3909">
        <f>IMAGE("https://mitra.stanford.edu/kundaje/oak/projects/neuro-variants/variant_position/credible/roussos_2024/variant_figures/roussos_2024.infant.GLU/rs4873621_profile_position.png",4,220,900)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-0.0184928281399999</v>
      </c>
      <c r="G3910" t="n">
        <v>0.3400575683782789</v>
      </c>
      <c r="H3910" t="n">
        <v>0.0143158639485134</v>
      </c>
      <c r="I3910" t="n">
        <v>0.4065386698799538</v>
      </c>
      <c r="J3910" t="n">
        <v>0.0381115103948499</v>
      </c>
      <c r="K3910" t="n">
        <v>0.3987437180796837</v>
      </c>
      <c r="L3910" t="b">
        <v>0</v>
      </c>
      <c r="M3910" t="b">
        <v>0</v>
      </c>
      <c r="N3910" t="inlineStr">
        <is>
          <t>ref</t>
        </is>
      </c>
      <c r="O3910" t="n">
        <v>95</v>
      </c>
      <c r="P3910" t="n">
        <v>0.03622</v>
      </c>
      <c r="Q3910" t="n">
        <v>55</v>
      </c>
      <c r="R3910" t="n">
        <v>0.04578</v>
      </c>
      <c r="S3910">
        <f>IMAGE("https://mitra.stanford.edu/kundaje/oak/projects/neuro-variants/variant_position/credible/roussos_2024/variant_figures/roussos_2024.infant.GLU/rs16917075_count_position.png",4,220,900)</f>
        <v/>
      </c>
      <c r="T3910">
        <f>IMAGE("https://mitra.stanford.edu/kundaje/oak/projects/neuro-variants/variant_position/credible/roussos_2024/variant_figures/roussos_2024.infant.GLU/rs16917075_profile_position.png",4,220,900)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-0.136371926</v>
      </c>
      <c r="G3911" t="n">
        <v>0.0262440064879223</v>
      </c>
      <c r="H3911" t="n">
        <v>0.0221407909350387</v>
      </c>
      <c r="I3911" t="n">
        <v>0.143382033425737</v>
      </c>
      <c r="J3911" t="n">
        <v>0.0658965144734231</v>
      </c>
      <c r="K3911" t="n">
        <v>0.2834663239404097</v>
      </c>
      <c r="L3911" t="b">
        <v>0</v>
      </c>
      <c r="M3911" t="b">
        <v>0</v>
      </c>
      <c r="N3911" t="inlineStr">
        <is>
          <t>ref</t>
        </is>
      </c>
      <c r="O3911" t="n">
        <v>100</v>
      </c>
      <c r="P3911" t="n">
        <v>0.01703</v>
      </c>
      <c r="Q3911" t="n">
        <v>70</v>
      </c>
      <c r="R3911" t="n">
        <v>0.0844</v>
      </c>
      <c r="S3911">
        <f>IMAGE("https://mitra.stanford.edu/kundaje/oak/projects/neuro-variants/variant_position/credible/roussos_2024/variant_figures/roussos_2024.infant.GLU/rs62514618_count_position.png",4,220,900)</f>
        <v/>
      </c>
      <c r="T3911">
        <f>IMAGE("https://mitra.stanford.edu/kundaje/oak/projects/neuro-variants/variant_position/credible/roussos_2024/variant_figures/roussos_2024.infant.GLU/rs62514618_profile_position.png",4,220,900)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-0.0304323266</v>
      </c>
      <c r="G3912" t="n">
        <v>0.3167962100994634</v>
      </c>
      <c r="H3912" t="n">
        <v>0.0104220076430894</v>
      </c>
      <c r="I3912" t="n">
        <v>0.6987383755536266</v>
      </c>
      <c r="J3912" t="n">
        <v>0.0199001300734142</v>
      </c>
      <c r="K3912" t="n">
        <v>0.5328817438567213</v>
      </c>
      <c r="L3912" t="b">
        <v>0</v>
      </c>
      <c r="M3912" t="b">
        <v>0</v>
      </c>
      <c r="N3912" t="inlineStr">
        <is>
          <t>ref</t>
        </is>
      </c>
      <c r="O3912" t="n">
        <v>100</v>
      </c>
      <c r="P3912" t="n">
        <v>0.03857</v>
      </c>
      <c r="Q3912" t="n">
        <v>100</v>
      </c>
      <c r="R3912" t="n">
        <v>0.10547</v>
      </c>
      <c r="S3912">
        <f>IMAGE("https://mitra.stanford.edu/kundaje/oak/projects/neuro-variants/variant_position/credible/roussos_2024/variant_figures/roussos_2024.infant.GLU/rs41444144_count_position.png",4,220,900)</f>
        <v/>
      </c>
      <c r="T3912">
        <f>IMAGE("https://mitra.stanford.edu/kundaje/oak/projects/neuro-variants/variant_position/credible/roussos_2024/variant_figures/roussos_2024.infant.GLU/rs41444144_profile_position.png",4,220,900)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0.0447966322</v>
      </c>
      <c r="G3913" t="n">
        <v>0.1917807731368414</v>
      </c>
      <c r="H3913" t="n">
        <v>0.0191404028107335</v>
      </c>
      <c r="I3913" t="n">
        <v>0.2048616444018766</v>
      </c>
      <c r="J3913" t="n">
        <v>0.0153552767918163</v>
      </c>
      <c r="K3913" t="n">
        <v>0.5935207564230625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0.03583</v>
      </c>
      <c r="Q3913" t="n">
        <v>-70</v>
      </c>
      <c r="R3913" t="n">
        <v>0.04248</v>
      </c>
      <c r="S3913">
        <f>IMAGE("https://mitra.stanford.edu/kundaje/oak/projects/neuro-variants/variant_position/credible/roussos_2024/variant_figures/roussos_2024.infant.GLU/rs858392_count_position.png",4,220,900)</f>
        <v/>
      </c>
      <c r="T3913">
        <f>IMAGE("https://mitra.stanford.edu/kundaje/oak/projects/neuro-variants/variant_position/credible/roussos_2024/variant_figures/roussos_2024.infant.GLU/rs858392_profile_position.png",4,220,900)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-0.00324985699</v>
      </c>
      <c r="G3914" t="n">
        <v>0.7329819791815492</v>
      </c>
      <c r="H3914" t="n">
        <v>0.0247024533083934</v>
      </c>
      <c r="I3914" t="n">
        <v>0.1042981113240135</v>
      </c>
      <c r="J3914" t="n">
        <v>0.0230549615291342</v>
      </c>
      <c r="K3914" t="n">
        <v>0.509356922825854</v>
      </c>
      <c r="L3914" t="b">
        <v>0</v>
      </c>
      <c r="M3914" t="b">
        <v>0</v>
      </c>
      <c r="N3914" t="inlineStr">
        <is>
          <t>ref</t>
        </is>
      </c>
      <c r="O3914" t="n">
        <v>80</v>
      </c>
      <c r="P3914" t="n">
        <v>0.01817</v>
      </c>
      <c r="Q3914" t="n">
        <v>40</v>
      </c>
      <c r="R3914" t="n">
        <v>0.015015</v>
      </c>
      <c r="S3914">
        <f>IMAGE("https://mitra.stanford.edu/kundaje/oak/projects/neuro-variants/variant_position/credible/roussos_2024/variant_figures/roussos_2024.infant.GLU/rs72650344_count_position.png",4,220,900)</f>
        <v/>
      </c>
      <c r="T3914">
        <f>IMAGE("https://mitra.stanford.edu/kundaje/oak/projects/neuro-variants/variant_position/credible/roussos_2024/variant_figures/roussos_2024.infant.GLU/rs72650344_profile_position.png",4,220,900)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-0.02816571226</v>
      </c>
      <c r="G3915" t="n">
        <v>0.3473250706462904</v>
      </c>
      <c r="H3915" t="n">
        <v>0.0132111668283264</v>
      </c>
      <c r="I3915" t="n">
        <v>0.4688606104158219</v>
      </c>
      <c r="J3915" t="n">
        <v>0.0479000859807314</v>
      </c>
      <c r="K3915" t="n">
        <v>0.34856907166466</v>
      </c>
      <c r="L3915" t="b">
        <v>0</v>
      </c>
      <c r="M3915" t="b">
        <v>0</v>
      </c>
      <c r="N3915" t="inlineStr">
        <is>
          <t>ref</t>
        </is>
      </c>
      <c r="O3915" t="n">
        <v>-90</v>
      </c>
      <c r="P3915" t="n">
        <v>0.02757</v>
      </c>
      <c r="Q3915" t="n">
        <v>60</v>
      </c>
      <c r="R3915" t="n">
        <v>0.03635</v>
      </c>
      <c r="S3915">
        <f>IMAGE("https://mitra.stanford.edu/kundaje/oak/projects/neuro-variants/variant_position/credible/roussos_2024/variant_figures/roussos_2024.infant.GLU/rs6984055_count_position.png",4,220,900)</f>
        <v/>
      </c>
      <c r="T3915">
        <f>IMAGE("https://mitra.stanford.edu/kundaje/oak/projects/neuro-variants/variant_position/credible/roussos_2024/variant_figures/roussos_2024.infant.GLU/rs6984055_profile_position.png",4,220,900)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0.1066947279999999</v>
      </c>
      <c r="G3916" t="n">
        <v>0.0459399661065186</v>
      </c>
      <c r="H3916" t="n">
        <v>0.0237088447198607</v>
      </c>
      <c r="I3916" t="n">
        <v>0.1189616298111654</v>
      </c>
      <c r="J3916" t="n">
        <v>0.084303004916334</v>
      </c>
      <c r="K3916" t="n">
        <v>0.244757124614002</v>
      </c>
      <c r="L3916" t="b">
        <v>0</v>
      </c>
      <c r="M3916" t="b">
        <v>0</v>
      </c>
      <c r="N3916" t="inlineStr">
        <is>
          <t>alt</t>
        </is>
      </c>
      <c r="O3916" t="n">
        <v>-75</v>
      </c>
      <c r="P3916" t="n">
        <v>0.01007</v>
      </c>
      <c r="Q3916" t="n">
        <v>-90</v>
      </c>
      <c r="R3916" t="n">
        <v>0.04443</v>
      </c>
      <c r="S3916">
        <f>IMAGE("https://mitra.stanford.edu/kundaje/oak/projects/neuro-variants/variant_position/credible/roussos_2024/variant_figures/roussos_2024.infant.GLU/rs56956895_count_position.png",4,220,900)</f>
        <v/>
      </c>
      <c r="T3916">
        <f>IMAGE("https://mitra.stanford.edu/kundaje/oak/projects/neuro-variants/variant_position/credible/roussos_2024/variant_figures/roussos_2024.infant.GLU/rs56956895_profile_position.png",4,220,900)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0.0708522476</v>
      </c>
      <c r="G3917" t="n">
        <v>0.1034574566441873</v>
      </c>
      <c r="H3917" t="n">
        <v>0.0215244636660498</v>
      </c>
      <c r="I3917" t="n">
        <v>0.1556196054714907</v>
      </c>
      <c r="J3917" t="n">
        <v>0.0086245287594522</v>
      </c>
      <c r="K3917" t="n">
        <v>0.6882747063230612</v>
      </c>
      <c r="L3917" t="b">
        <v>0</v>
      </c>
      <c r="M3917" t="b">
        <v>0</v>
      </c>
      <c r="N3917" t="inlineStr">
        <is>
          <t>alt</t>
        </is>
      </c>
      <c r="O3917" t="n">
        <v>95</v>
      </c>
      <c r="P3917" t="n">
        <v>0.008500000000000001</v>
      </c>
      <c r="Q3917" t="n">
        <v>-75</v>
      </c>
      <c r="R3917" t="n">
        <v>0.02632</v>
      </c>
      <c r="S3917">
        <f>IMAGE("https://mitra.stanford.edu/kundaje/oak/projects/neuro-variants/variant_position/credible/roussos_2024/variant_figures/roussos_2024.infant.GLU/rs9298512_count_position.png",4,220,900)</f>
        <v/>
      </c>
      <c r="T3917">
        <f>IMAGE("https://mitra.stanford.edu/kundaje/oak/projects/neuro-variants/variant_position/credible/roussos_2024/variant_figures/roussos_2024.infant.GLU/rs9298512_profile_position.png",4,220,900)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0.00553448564</v>
      </c>
      <c r="G3918" t="n">
        <v>0.7628090368456655</v>
      </c>
      <c r="H3918" t="n">
        <v>0.008795121412575199</v>
      </c>
      <c r="I3918" t="n">
        <v>0.8419225748626058</v>
      </c>
      <c r="J3918" t="n">
        <v>0.08609978174122</v>
      </c>
      <c r="K3918" t="n">
        <v>0.2388675037126401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0.04987</v>
      </c>
      <c r="Q3918" t="n">
        <v>-100</v>
      </c>
      <c r="R3918" t="n">
        <v>0.1707</v>
      </c>
      <c r="S3918">
        <f>IMAGE("https://mitra.stanford.edu/kundaje/oak/projects/neuro-variants/variant_position/credible/roussos_2024/variant_figures/roussos_2024.infant.GLU/rs1498180_count_position.png",4,220,900)</f>
        <v/>
      </c>
      <c r="T3918">
        <f>IMAGE("https://mitra.stanford.edu/kundaje/oak/projects/neuro-variants/variant_position/credible/roussos_2024/variant_figures/roussos_2024.infant.GLU/rs1498180_profile_position.png",4,220,900)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-0.0575351898</v>
      </c>
      <c r="G3919" t="n">
        <v>0.1365999435239402</v>
      </c>
      <c r="H3919" t="n">
        <v>0.007976041246185599</v>
      </c>
      <c r="I3919" t="n">
        <v>0.8945906009598878</v>
      </c>
      <c r="J3919" t="n">
        <v>0.025318018474834</v>
      </c>
      <c r="K3919" t="n">
        <v>0.4953881355031003</v>
      </c>
      <c r="L3919" t="b">
        <v>0</v>
      </c>
      <c r="M3919" t="b">
        <v>0</v>
      </c>
      <c r="N3919" t="inlineStr">
        <is>
          <t>ref</t>
        </is>
      </c>
      <c r="O3919" t="n">
        <v>-100</v>
      </c>
      <c r="P3919" t="n">
        <v>0.02408</v>
      </c>
      <c r="Q3919" t="n">
        <v>35</v>
      </c>
      <c r="R3919" t="n">
        <v>0.01797</v>
      </c>
      <c r="S3919">
        <f>IMAGE("https://mitra.stanford.edu/kundaje/oak/projects/neuro-variants/variant_position/credible/roussos_2024/variant_figures/roussos_2024.infant.GLU/rs1498179_count_position.png",4,220,900)</f>
        <v/>
      </c>
      <c r="T3919">
        <f>IMAGE("https://mitra.stanford.edu/kundaje/oak/projects/neuro-variants/variant_position/credible/roussos_2024/variant_figures/roussos_2024.infant.GLU/rs1498179_profile_position.png",4,220,900)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0.157405648</v>
      </c>
      <c r="G3920" t="n">
        <v>0.0203398976078883</v>
      </c>
      <c r="H3920" t="n">
        <v>0.0196527337759335</v>
      </c>
      <c r="I3920" t="n">
        <v>0.1945984904769787</v>
      </c>
      <c r="J3920" t="n">
        <v>0.0748848078661345</v>
      </c>
      <c r="K3920" t="n">
        <v>0.2644863736780213</v>
      </c>
      <c r="L3920" t="b">
        <v>0</v>
      </c>
      <c r="M3920" t="b">
        <v>0</v>
      </c>
      <c r="N3920" t="inlineStr">
        <is>
          <t>alt</t>
        </is>
      </c>
      <c r="O3920" t="n">
        <v>100</v>
      </c>
      <c r="P3920" t="n">
        <v>0.01021</v>
      </c>
      <c r="Q3920" t="n">
        <v>-100</v>
      </c>
      <c r="R3920" t="n">
        <v>0.01648</v>
      </c>
      <c r="S3920">
        <f>IMAGE("https://mitra.stanford.edu/kundaje/oak/projects/neuro-variants/variant_position/credible/roussos_2024/variant_figures/roussos_2024.infant.GLU/rs10108316_count_position.png",4,220,900)</f>
        <v/>
      </c>
      <c r="T3920">
        <f>IMAGE("https://mitra.stanford.edu/kundaje/oak/projects/neuro-variants/variant_position/credible/roussos_2024/variant_figures/roussos_2024.infant.GLU/rs10108316_profile_position.png",4,220,900)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0.07383186460000001</v>
      </c>
      <c r="G3921" t="n">
        <v>0.1037899115764327</v>
      </c>
      <c r="H3921" t="n">
        <v>0.0137358391531439</v>
      </c>
      <c r="I3921" t="n">
        <v>0.4415985541397687</v>
      </c>
      <c r="J3921" t="n">
        <v>0.011943605458674</v>
      </c>
      <c r="K3921" t="n">
        <v>0.648079462452374</v>
      </c>
      <c r="L3921" t="b">
        <v>0</v>
      </c>
      <c r="M3921" t="b">
        <v>0</v>
      </c>
      <c r="N3921" t="inlineStr">
        <is>
          <t>alt</t>
        </is>
      </c>
      <c r="O3921" t="n">
        <v>-60</v>
      </c>
      <c r="P3921" t="n">
        <v>0.006546</v>
      </c>
      <c r="Q3921" t="n">
        <v>15</v>
      </c>
      <c r="R3921" t="n">
        <v>0.02917</v>
      </c>
      <c r="S3921">
        <f>IMAGE("https://mitra.stanford.edu/kundaje/oak/projects/neuro-variants/variant_position/credible/roussos_2024/variant_figures/roussos_2024.infant.GLU/rs4737804_count_position.png",4,220,900)</f>
        <v/>
      </c>
      <c r="T3921">
        <f>IMAGE("https://mitra.stanford.edu/kundaje/oak/projects/neuro-variants/variant_position/credible/roussos_2024/variant_figures/roussos_2024.infant.GLU/rs4737804_profile_position.png",4,220,900)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0.009575339319999999</v>
      </c>
      <c r="G3922" t="n">
        <v>0.6624060115397662</v>
      </c>
      <c r="H3922" t="n">
        <v>0.0072917205160678</v>
      </c>
      <c r="I3922" t="n">
        <v>0.9433395910569172</v>
      </c>
      <c r="J3922" t="n">
        <v>0.0013315990211424</v>
      </c>
      <c r="K3922" t="n">
        <v>0.8867854201418597</v>
      </c>
      <c r="L3922" t="b">
        <v>0</v>
      </c>
      <c r="M3922" t="b">
        <v>0</v>
      </c>
      <c r="N3922" t="inlineStr">
        <is>
          <t>alt</t>
        </is>
      </c>
      <c r="O3922" t="n">
        <v>5</v>
      </c>
      <c r="P3922" t="n">
        <v>0.00304</v>
      </c>
      <c r="Q3922" t="n">
        <v>-100</v>
      </c>
      <c r="R3922" t="n">
        <v>0.1362</v>
      </c>
      <c r="S3922">
        <f>IMAGE("https://mitra.stanford.edu/kundaje/oak/projects/neuro-variants/variant_position/credible/roussos_2024/variant_figures/roussos_2024.infant.GLU/rs4737807_count_position.png",4,220,900)</f>
        <v/>
      </c>
      <c r="T3922">
        <f>IMAGE("https://mitra.stanford.edu/kundaje/oak/projects/neuro-variants/variant_position/credible/roussos_2024/variant_figures/roussos_2024.infant.GLU/rs4737807_profile_position.png",4,220,900)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-0.0250411753999999</v>
      </c>
      <c r="G3923" t="n">
        <v>0.3880496076853816</v>
      </c>
      <c r="H3923" t="n">
        <v>0.0113873888803074</v>
      </c>
      <c r="I3923" t="n">
        <v>0.6130771217513458</v>
      </c>
      <c r="J3923" t="n">
        <v>0.07272757335920101</v>
      </c>
      <c r="K3923" t="n">
        <v>0.2671135511436815</v>
      </c>
      <c r="L3923" t="b">
        <v>0</v>
      </c>
      <c r="M3923" t="b">
        <v>0</v>
      </c>
      <c r="N3923" t="inlineStr">
        <is>
          <t>ref</t>
        </is>
      </c>
      <c r="O3923" t="n">
        <v>100</v>
      </c>
      <c r="P3923" t="n">
        <v>0.02153</v>
      </c>
      <c r="Q3923" t="n">
        <v>55</v>
      </c>
      <c r="R3923" t="n">
        <v>0.1428</v>
      </c>
      <c r="S3923">
        <f>IMAGE("https://mitra.stanford.edu/kundaje/oak/projects/neuro-variants/variant_position/credible/roussos_2024/variant_figures/roussos_2024.infant.GLU/rs34401803_count_position.png",4,220,900)</f>
        <v/>
      </c>
      <c r="T3923">
        <f>IMAGE("https://mitra.stanford.edu/kundaje/oak/projects/neuro-variants/variant_position/credible/roussos_2024/variant_figures/roussos_2024.infant.GLU/rs34401803_profile_position.png",4,220,900)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0.00045945364</v>
      </c>
      <c r="G3924" t="n">
        <v>0.8645553562703717</v>
      </c>
      <c r="H3924" t="n">
        <v>0.0155222941048389</v>
      </c>
      <c r="I3924" t="n">
        <v>0.3335370639191455</v>
      </c>
      <c r="J3924" t="n">
        <v>0.0967062765933992</v>
      </c>
      <c r="K3924" t="n">
        <v>0.2176916330245805</v>
      </c>
      <c r="L3924" t="b">
        <v>0</v>
      </c>
      <c r="M3924" t="b">
        <v>0</v>
      </c>
      <c r="N3924" t="inlineStr">
        <is>
          <t>alt</t>
        </is>
      </c>
      <c r="O3924" t="n">
        <v>-10</v>
      </c>
      <c r="P3924" t="n">
        <v>0.003643</v>
      </c>
      <c r="Q3924" t="n">
        <v>100</v>
      </c>
      <c r="R3924" t="n">
        <v>0.1707</v>
      </c>
      <c r="S3924">
        <f>IMAGE("https://mitra.stanford.edu/kundaje/oak/projects/neuro-variants/variant_position/credible/roussos_2024/variant_figures/roussos_2024.infant.GLU/rs17332014_count_position.png",4,220,900)</f>
        <v/>
      </c>
      <c r="T3924">
        <f>IMAGE("https://mitra.stanford.edu/kundaje/oak/projects/neuro-variants/variant_position/credible/roussos_2024/variant_figures/roussos_2024.infant.GLU/rs17332014_profile_position.png",4,220,900)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-0.0038538942</v>
      </c>
      <c r="G3925" t="n">
        <v>0.5931504173023125</v>
      </c>
      <c r="H3925" t="n">
        <v>0.0060975696322232</v>
      </c>
      <c r="I3925" t="n">
        <v>0.9789624645115382</v>
      </c>
      <c r="J3925" t="n">
        <v>0.2086090963204656</v>
      </c>
      <c r="K3925" t="n">
        <v>0.1028115597091712</v>
      </c>
      <c r="L3925" t="b">
        <v>0</v>
      </c>
      <c r="M3925" t="b">
        <v>0</v>
      </c>
      <c r="N3925" t="inlineStr">
        <is>
          <t>ref</t>
        </is>
      </c>
      <c r="O3925" t="n">
        <v>100</v>
      </c>
      <c r="P3925" t="n">
        <v>0.02782</v>
      </c>
      <c r="Q3925" t="n">
        <v>100</v>
      </c>
      <c r="R3925" t="n">
        <v>0.2942</v>
      </c>
      <c r="S3925">
        <f>IMAGE("https://mitra.stanford.edu/kundaje/oak/projects/neuro-variants/variant_position/credible/roussos_2024/variant_figures/roussos_2024.infant.GLU/rs6983076_count_position.png",4,220,900)</f>
        <v/>
      </c>
      <c r="T3925">
        <f>IMAGE("https://mitra.stanford.edu/kundaje/oak/projects/neuro-variants/variant_position/credible/roussos_2024/variant_figures/roussos_2024.infant.GLU/rs6983076_profile_position.png",4,220,900)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-0.0510979708</v>
      </c>
      <c r="G3926" t="n">
        <v>0.1648674582602106</v>
      </c>
      <c r="H3926" t="n">
        <v>0.0110409989869424</v>
      </c>
      <c r="I3926" t="n">
        <v>0.6252027338157745</v>
      </c>
      <c r="J3926" t="n">
        <v>0.1968363500077161</v>
      </c>
      <c r="K3926" t="n">
        <v>0.1144659964103207</v>
      </c>
      <c r="L3926" t="b">
        <v>0</v>
      </c>
      <c r="M3926" t="b">
        <v>0</v>
      </c>
      <c r="N3926" t="inlineStr">
        <is>
          <t>ref</t>
        </is>
      </c>
      <c r="O3926" t="n">
        <v>100</v>
      </c>
      <c r="P3926" t="n">
        <v>0.06370000000000001</v>
      </c>
      <c r="Q3926" t="n">
        <v>5</v>
      </c>
      <c r="R3926" t="n">
        <v>0.0083</v>
      </c>
      <c r="S3926">
        <f>IMAGE("https://mitra.stanford.edu/kundaje/oak/projects/neuro-variants/variant_position/credible/roussos_2024/variant_figures/roussos_2024.infant.GLU/rs7835908_count_position.png",4,220,900)</f>
        <v/>
      </c>
      <c r="T3926">
        <f>IMAGE("https://mitra.stanford.edu/kundaje/oak/projects/neuro-variants/variant_position/credible/roussos_2024/variant_figures/roussos_2024.infant.GLU/rs7835908_profile_position.png",4,220,900)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0.0233981146</v>
      </c>
      <c r="G3927" t="n">
        <v>0.4072517951747095</v>
      </c>
      <c r="H3927" t="n">
        <v>0.009331748494088399</v>
      </c>
      <c r="I3927" t="n">
        <v>0.8020264963838896</v>
      </c>
      <c r="J3927" t="n">
        <v>0.0339601843074141</v>
      </c>
      <c r="K3927" t="n">
        <v>0.4399112955973701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0.08203000000000001</v>
      </c>
      <c r="Q3927" t="n">
        <v>95</v>
      </c>
      <c r="R3927" t="n">
        <v>0.1304</v>
      </c>
      <c r="S3927">
        <f>IMAGE("https://mitra.stanford.edu/kundaje/oak/projects/neuro-variants/variant_position/credible/roussos_2024/variant_figures/roussos_2024.infant.GLU/rs12680715_count_position.png",4,220,900)</f>
        <v/>
      </c>
      <c r="T3927">
        <f>IMAGE("https://mitra.stanford.edu/kundaje/oak/projects/neuro-variants/variant_position/credible/roussos_2024/variant_figures/roussos_2024.infant.GLU/rs12680715_profile_position.png",4,220,900)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0.0855890228</v>
      </c>
      <c r="G3928" t="n">
        <v>0.0757310047063507</v>
      </c>
      <c r="H3928" t="n">
        <v>0.0199289899094782</v>
      </c>
      <c r="I3928" t="n">
        <v>0.1855424028289723</v>
      </c>
      <c r="J3928" t="n">
        <v>0.5994554553671818</v>
      </c>
      <c r="K3928" t="n">
        <v>0.0211980314526001</v>
      </c>
      <c r="L3928" t="b">
        <v>0</v>
      </c>
      <c r="M3928" t="b">
        <v>0</v>
      </c>
      <c r="N3928" t="inlineStr">
        <is>
          <t>alt</t>
        </is>
      </c>
      <c r="O3928" t="n">
        <v>20</v>
      </c>
      <c r="P3928" t="n">
        <v>0.005615</v>
      </c>
      <c r="Q3928" t="n">
        <v>20</v>
      </c>
      <c r="R3928" t="n">
        <v>0.09863</v>
      </c>
      <c r="S3928">
        <f>IMAGE("https://mitra.stanford.edu/kundaje/oak/projects/neuro-variants/variant_position/credible/roussos_2024/variant_figures/roussos_2024.infant.GLU/rs907211_count_position.png",4,220,900)</f>
        <v/>
      </c>
      <c r="T3928">
        <f>IMAGE("https://mitra.stanford.edu/kundaje/oak/projects/neuro-variants/variant_position/credible/roussos_2024/variant_figures/roussos_2024.infant.GLU/rs907211_profile_position.png",4,220,900)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0.056790595</v>
      </c>
      <c r="G3929" t="n">
        <v>0.1480399326873368</v>
      </c>
      <c r="H3929" t="n">
        <v>0.013271193052267</v>
      </c>
      <c r="I3929" t="n">
        <v>0.4660081911336269</v>
      </c>
      <c r="J3929" t="n">
        <v>0.0261039705460878</v>
      </c>
      <c r="K3929" t="n">
        <v>0.4808111290043327</v>
      </c>
      <c r="L3929" t="b">
        <v>0</v>
      </c>
      <c r="M3929" t="b">
        <v>0</v>
      </c>
      <c r="N3929" t="inlineStr">
        <is>
          <t>alt</t>
        </is>
      </c>
      <c r="O3929" t="n">
        <v>100</v>
      </c>
      <c r="P3929" t="n">
        <v>0.0199</v>
      </c>
      <c r="Q3929" t="n">
        <v>10</v>
      </c>
      <c r="R3929" t="n">
        <v>0.0327</v>
      </c>
      <c r="S3929">
        <f>IMAGE("https://mitra.stanford.edu/kundaje/oak/projects/neuro-variants/variant_position/credible/roussos_2024/variant_figures/roussos_2024.infant.GLU/rs1473594_count_position.png",4,220,900)</f>
        <v/>
      </c>
      <c r="T3929">
        <f>IMAGE("https://mitra.stanford.edu/kundaje/oak/projects/neuro-variants/variant_position/credible/roussos_2024/variant_figures/roussos_2024.infant.GLU/rs1473594_profile_position.png",4,220,900)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-0.01349034256</v>
      </c>
      <c r="G3930" t="n">
        <v>0.5837716230687607</v>
      </c>
      <c r="H3930" t="n">
        <v>0.0152015267501251</v>
      </c>
      <c r="I3930" t="n">
        <v>0.3498127259477503</v>
      </c>
      <c r="J3930" t="n">
        <v>0.0855916135717277</v>
      </c>
      <c r="K3930" t="n">
        <v>0.2354844181403376</v>
      </c>
      <c r="L3930" t="b">
        <v>0</v>
      </c>
      <c r="M3930" t="b">
        <v>0</v>
      </c>
      <c r="N3930" t="inlineStr">
        <is>
          <t>ref</t>
        </is>
      </c>
      <c r="O3930" t="n">
        <v>85</v>
      </c>
      <c r="P3930" t="n">
        <v>0.08550000000000001</v>
      </c>
      <c r="Q3930" t="n">
        <v>50</v>
      </c>
      <c r="R3930" t="n">
        <v>0.0315</v>
      </c>
      <c r="S3930">
        <f>IMAGE("https://mitra.stanford.edu/kundaje/oak/projects/neuro-variants/variant_position/credible/roussos_2024/variant_figures/roussos_2024.infant.GLU/rs1034516_count_position.png",4,220,900)</f>
        <v/>
      </c>
      <c r="T3930">
        <f>IMAGE("https://mitra.stanford.edu/kundaje/oak/projects/neuro-variants/variant_position/credible/roussos_2024/variant_figures/roussos_2024.infant.GLU/rs1034516_profile_position.png",4,220,900)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-0.01154923036</v>
      </c>
      <c r="G3931" t="n">
        <v>0.5221561594508187</v>
      </c>
      <c r="H3931" t="n">
        <v>0.0146650560878516</v>
      </c>
      <c r="I3931" t="n">
        <v>0.3797394056312058</v>
      </c>
      <c r="J3931" t="n">
        <v>0.0140005291121937</v>
      </c>
      <c r="K3931" t="n">
        <v>0.6032533943315326</v>
      </c>
      <c r="L3931" t="b">
        <v>0</v>
      </c>
      <c r="M3931" t="b">
        <v>0</v>
      </c>
      <c r="N3931" t="inlineStr">
        <is>
          <t>ref</t>
        </is>
      </c>
      <c r="O3931" t="n">
        <v>-95</v>
      </c>
      <c r="P3931" t="n">
        <v>0.0293</v>
      </c>
      <c r="Q3931" t="n">
        <v>-90</v>
      </c>
      <c r="R3931" t="n">
        <v>0.1382</v>
      </c>
      <c r="S3931">
        <f>IMAGE("https://mitra.stanford.edu/kundaje/oak/projects/neuro-variants/variant_position/credible/roussos_2024/variant_figures/roussos_2024.infant.GLU/rs1034517_count_position.png",4,220,900)</f>
        <v/>
      </c>
      <c r="T3931">
        <f>IMAGE("https://mitra.stanford.edu/kundaje/oak/projects/neuro-variants/variant_position/credible/roussos_2024/variant_figures/roussos_2024.infant.GLU/rs1034517_profile_position.png",4,220,900)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0.151763592</v>
      </c>
      <c r="G3932" t="n">
        <v>0.0215756416595376</v>
      </c>
      <c r="H3932" t="n">
        <v>0.0321121191429109</v>
      </c>
      <c r="I3932" t="n">
        <v>0.0477426956458921</v>
      </c>
      <c r="J3932" t="n">
        <v>0.0216991115324411</v>
      </c>
      <c r="K3932" t="n">
        <v>0.5182849371051205</v>
      </c>
      <c r="L3932" t="b">
        <v>0</v>
      </c>
      <c r="M3932" t="b">
        <v>0</v>
      </c>
      <c r="N3932" t="inlineStr">
        <is>
          <t>alt</t>
        </is>
      </c>
      <c r="O3932" t="n">
        <v>-30</v>
      </c>
      <c r="P3932" t="n">
        <v>0.010635</v>
      </c>
      <c r="Q3932" t="n">
        <v>-25</v>
      </c>
      <c r="R3932" t="n">
        <v>0.03857</v>
      </c>
      <c r="S3932">
        <f>IMAGE("https://mitra.stanford.edu/kundaje/oak/projects/neuro-variants/variant_position/credible/roussos_2024/variant_figures/roussos_2024.infant.GLU/rs10504300_count_position.png",4,220,900)</f>
        <v/>
      </c>
      <c r="T3932">
        <f>IMAGE("https://mitra.stanford.edu/kundaje/oak/projects/neuro-variants/variant_position/credible/roussos_2024/variant_figures/roussos_2024.infant.GLU/rs10504300_profile_position.png",4,220,900)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-0.0656990108</v>
      </c>
      <c r="G3933" t="n">
        <v>0.1124330016055488</v>
      </c>
      <c r="H3933" t="n">
        <v>0.0132356022677234</v>
      </c>
      <c r="I3933" t="n">
        <v>0.4669220152560077</v>
      </c>
      <c r="J3933" t="n">
        <v>0.1325701624815361</v>
      </c>
      <c r="K3933" t="n">
        <v>0.1629398828691803</v>
      </c>
      <c r="L3933" t="b">
        <v>0</v>
      </c>
      <c r="M3933" t="b">
        <v>0</v>
      </c>
      <c r="N3933" t="inlineStr">
        <is>
          <t>ref</t>
        </is>
      </c>
      <c r="O3933" t="n">
        <v>-30</v>
      </c>
      <c r="P3933" t="n">
        <v>0.004814</v>
      </c>
      <c r="Q3933" t="n">
        <v>75</v>
      </c>
      <c r="R3933" t="n">
        <v>0.08624</v>
      </c>
      <c r="S3933">
        <f>IMAGE("https://mitra.stanford.edu/kundaje/oak/projects/neuro-variants/variant_position/credible/roussos_2024/variant_figures/roussos_2024.infant.GLU/rs7017555_count_position.png",4,220,900)</f>
        <v/>
      </c>
      <c r="T3933">
        <f>IMAGE("https://mitra.stanford.edu/kundaje/oak/projects/neuro-variants/variant_position/credible/roussos_2024/variant_figures/roussos_2024.infant.GLU/rs7017555_profile_position.png",4,220,900)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-0.01689329072</v>
      </c>
      <c r="G3934" t="n">
        <v>0.5191445118998316</v>
      </c>
      <c r="H3934" t="n">
        <v>0.0079982584740059</v>
      </c>
      <c r="I3934" t="n">
        <v>0.9070122661679036</v>
      </c>
      <c r="J3934" t="n">
        <v>0.0197965122687889</v>
      </c>
      <c r="K3934" t="n">
        <v>0.5418869906768291</v>
      </c>
      <c r="L3934" t="b">
        <v>0</v>
      </c>
      <c r="M3934" t="b">
        <v>0</v>
      </c>
      <c r="N3934" t="inlineStr">
        <is>
          <t>ref</t>
        </is>
      </c>
      <c r="O3934" t="n">
        <v>85</v>
      </c>
      <c r="P3934" t="n">
        <v>0.03668</v>
      </c>
      <c r="Q3934" t="n">
        <v>85</v>
      </c>
      <c r="R3934" t="n">
        <v>0.0471</v>
      </c>
      <c r="S3934">
        <f>IMAGE("https://mitra.stanford.edu/kundaje/oak/projects/neuro-variants/variant_position/credible/roussos_2024/variant_figures/roussos_2024.infant.GLU/rs782022_count_position.png",4,220,900)</f>
        <v/>
      </c>
      <c r="T3934">
        <f>IMAGE("https://mitra.stanford.edu/kundaje/oak/projects/neuro-variants/variant_position/credible/roussos_2024/variant_figures/roussos_2024.infant.GLU/rs782022_profile_position.png",4,220,900)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0.00483768948</v>
      </c>
      <c r="G3935" t="n">
        <v>0.6183426656823028</v>
      </c>
      <c r="H3935" t="n">
        <v>0.0125834581002975</v>
      </c>
      <c r="I3935" t="n">
        <v>0.5093893850572662</v>
      </c>
      <c r="J3935" t="n">
        <v>0.1259849203024757</v>
      </c>
      <c r="K3935" t="n">
        <v>0.1691371390356807</v>
      </c>
      <c r="L3935" t="b">
        <v>0</v>
      </c>
      <c r="M3935" t="b">
        <v>0</v>
      </c>
      <c r="N3935" t="inlineStr">
        <is>
          <t>alt</t>
        </is>
      </c>
      <c r="O3935" t="n">
        <v>50</v>
      </c>
      <c r="P3935" t="n">
        <v>0.01436</v>
      </c>
      <c r="Q3935" t="n">
        <v>-100</v>
      </c>
      <c r="R3935" t="n">
        <v>0.324</v>
      </c>
      <c r="S3935">
        <f>IMAGE("https://mitra.stanford.edu/kundaje/oak/projects/neuro-variants/variant_position/credible/roussos_2024/variant_figures/roussos_2024.infant.GLU/rs522182_count_position.png",4,220,900)</f>
        <v/>
      </c>
      <c r="T3935">
        <f>IMAGE("https://mitra.stanford.edu/kundaje/oak/projects/neuro-variants/variant_position/credible/roussos_2024/variant_figures/roussos_2024.infant.GLU/rs522182_profile_position.png",4,220,900)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0.0385840246</v>
      </c>
      <c r="G3936" t="n">
        <v>0.2348177752295084</v>
      </c>
      <c r="H3936" t="n">
        <v>0.0160055473111506</v>
      </c>
      <c r="I3936" t="n">
        <v>0.3136411527685217</v>
      </c>
      <c r="J3936" t="n">
        <v>0.8836206706497057</v>
      </c>
      <c r="K3936" t="n">
        <v>0.004067236599962</v>
      </c>
      <c r="L3936" t="b">
        <v>0</v>
      </c>
      <c r="M3936" t="b">
        <v>0</v>
      </c>
      <c r="N3936" t="inlineStr">
        <is>
          <t>alt</t>
        </is>
      </c>
      <c r="O3936" t="n">
        <v>-80</v>
      </c>
      <c r="P3936" t="n">
        <v>0.00627</v>
      </c>
      <c r="Q3936" t="n">
        <v>-80</v>
      </c>
      <c r="R3936" t="n">
        <v>0.1199</v>
      </c>
      <c r="S3936">
        <f>IMAGE("https://mitra.stanford.edu/kundaje/oak/projects/neuro-variants/variant_position/credible/roussos_2024/variant_figures/roussos_2024.infant.GLU/rs298210_count_position.png",4,220,900)</f>
        <v/>
      </c>
      <c r="T3936">
        <f>IMAGE("https://mitra.stanford.edu/kundaje/oak/projects/neuro-variants/variant_position/credible/roussos_2024/variant_figures/roussos_2024.infant.GLU/rs298210_profile_position.png",4,220,900)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0.0831589866</v>
      </c>
      <c r="G3937" t="n">
        <v>0.0728507704055722</v>
      </c>
      <c r="H3937" t="n">
        <v>0.0473774667207347</v>
      </c>
      <c r="I3937" t="n">
        <v>0.0096475715054958</v>
      </c>
      <c r="J3937" t="n">
        <v>0.2461396856191714</v>
      </c>
      <c r="K3937" t="n">
        <v>0.0860947172971501</v>
      </c>
      <c r="L3937" t="b">
        <v>1</v>
      </c>
      <c r="M3937" t="b">
        <v>1</v>
      </c>
      <c r="N3937" t="inlineStr">
        <is>
          <t>alt</t>
        </is>
      </c>
      <c r="O3937" t="n">
        <v>-30</v>
      </c>
      <c r="P3937" t="n">
        <v>0.007797</v>
      </c>
      <c r="Q3937" t="n">
        <v>80</v>
      </c>
      <c r="R3937" t="n">
        <v>0.06494</v>
      </c>
      <c r="S3937">
        <f>IMAGE("https://mitra.stanford.edu/kundaje/oak/projects/neuro-variants/variant_position/credible/roussos_2024/variant_figures/roussos_2024.infant.GLU/rs298199_count_position.png",4,220,900)</f>
        <v/>
      </c>
      <c r="T3937">
        <f>IMAGE("https://mitra.stanford.edu/kundaje/oak/projects/neuro-variants/variant_position/credible/roussos_2024/variant_figures/roussos_2024.infant.GLU/rs298199_profile_position.png",4,220,900)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0.0116778721</v>
      </c>
      <c r="G3938" t="n">
        <v>0.593219589956728</v>
      </c>
      <c r="H3938" t="n">
        <v>0.0149898139405566</v>
      </c>
      <c r="I3938" t="n">
        <v>0.3640091425012912</v>
      </c>
      <c r="J3938" t="n">
        <v>0.1056394541325866</v>
      </c>
      <c r="K3938" t="n">
        <v>0.1977335127128443</v>
      </c>
      <c r="L3938" t="b">
        <v>0</v>
      </c>
      <c r="M3938" t="b">
        <v>0</v>
      </c>
      <c r="N3938" t="inlineStr">
        <is>
          <t>alt</t>
        </is>
      </c>
      <c r="O3938" t="n">
        <v>80</v>
      </c>
      <c r="P3938" t="n">
        <v>0.01536</v>
      </c>
      <c r="Q3938" t="n">
        <v>-100</v>
      </c>
      <c r="R3938" t="n">
        <v>0.11896</v>
      </c>
      <c r="S3938">
        <f>IMAGE("https://mitra.stanford.edu/kundaje/oak/projects/neuro-variants/variant_position/credible/roussos_2024/variant_figures/roussos_2024.infant.GLU/rs298200_count_position.png",4,220,900)</f>
        <v/>
      </c>
      <c r="T3938">
        <f>IMAGE("https://mitra.stanford.edu/kundaje/oak/projects/neuro-variants/variant_position/credible/roussos_2024/variant_figures/roussos_2024.infant.GLU/rs298200_profile_position.png",4,220,900)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0.0181805235</v>
      </c>
      <c r="G3939" t="n">
        <v>0.4760708964278454</v>
      </c>
      <c r="H3939" t="n">
        <v>0.0154141289981189</v>
      </c>
      <c r="I3939" t="n">
        <v>0.3670337781445577</v>
      </c>
      <c r="J3939" t="n">
        <v>0.0241418461606296</v>
      </c>
      <c r="K3939" t="n">
        <v>0.505950830071726</v>
      </c>
      <c r="L3939" t="b">
        <v>0</v>
      </c>
      <c r="M3939" t="b">
        <v>0</v>
      </c>
      <c r="N3939" t="inlineStr">
        <is>
          <t>alt</t>
        </is>
      </c>
      <c r="O3939" t="n">
        <v>60</v>
      </c>
      <c r="P3939" t="n">
        <v>0.02843</v>
      </c>
      <c r="Q3939" t="n">
        <v>45</v>
      </c>
      <c r="R3939" t="n">
        <v>0.0857</v>
      </c>
      <c r="S3939">
        <f>IMAGE("https://mitra.stanford.edu/kundaje/oak/projects/neuro-variants/variant_position/credible/roussos_2024/variant_figures/roussos_2024.infant.GLU/rs298179_count_position.png",4,220,900)</f>
        <v/>
      </c>
      <c r="T3939">
        <f>IMAGE("https://mitra.stanford.edu/kundaje/oak/projects/neuro-variants/variant_position/credible/roussos_2024/variant_figures/roussos_2024.infant.GLU/rs298179_profile_position.png",4,220,900)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-0.00922228818</v>
      </c>
      <c r="G3940" t="n">
        <v>0.666528374960126</v>
      </c>
      <c r="H3940" t="n">
        <v>0.0218408067936294</v>
      </c>
      <c r="I3940" t="n">
        <v>0.1463724825275393</v>
      </c>
      <c r="J3940" t="n">
        <v>0.2072455301042791</v>
      </c>
      <c r="K3940" t="n">
        <v>0.105641179978313</v>
      </c>
      <c r="L3940" t="b">
        <v>0</v>
      </c>
      <c r="M3940" t="b">
        <v>0</v>
      </c>
      <c r="N3940" t="inlineStr">
        <is>
          <t>ref</t>
        </is>
      </c>
      <c r="O3940" t="n">
        <v>-45</v>
      </c>
      <c r="P3940" t="n">
        <v>0.005653</v>
      </c>
      <c r="Q3940" t="n">
        <v>-45</v>
      </c>
      <c r="R3940" t="n">
        <v>0.04004</v>
      </c>
      <c r="S3940">
        <f>IMAGE("https://mitra.stanford.edu/kundaje/oak/projects/neuro-variants/variant_position/credible/roussos_2024/variant_figures/roussos_2024.infant.GLU/rs2577907_count_position.png",4,220,900)</f>
        <v/>
      </c>
      <c r="T3940">
        <f>IMAGE("https://mitra.stanford.edu/kundaje/oak/projects/neuro-variants/variant_position/credible/roussos_2024/variant_figures/roussos_2024.infant.GLU/rs2577907_profile_position.png",4,220,900)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0.0523757294</v>
      </c>
      <c r="G3941" t="n">
        <v>0.1517326018640761</v>
      </c>
      <c r="H3941" t="n">
        <v>0.0185978684449555</v>
      </c>
      <c r="I3941" t="n">
        <v>0.2284667417162993</v>
      </c>
      <c r="J3941" t="n">
        <v>0.0095504750986573</v>
      </c>
      <c r="K3941" t="n">
        <v>0.6663847443892205</v>
      </c>
      <c r="L3941" t="b">
        <v>0</v>
      </c>
      <c r="M3941" t="b">
        <v>0</v>
      </c>
      <c r="N3941" t="inlineStr">
        <is>
          <t>alt</t>
        </is>
      </c>
      <c r="O3941" t="n">
        <v>90</v>
      </c>
      <c r="P3941" t="n">
        <v>0.01712</v>
      </c>
      <c r="Q3941" t="n">
        <v>0</v>
      </c>
      <c r="R3941" t="n">
        <v>0</v>
      </c>
      <c r="S3941">
        <f>IMAGE("https://mitra.stanford.edu/kundaje/oak/projects/neuro-variants/variant_position/credible/roussos_2024/variant_figures/roussos_2024.infant.GLU/rs59666344_count_position.png",4,220,900)</f>
        <v/>
      </c>
      <c r="T3941">
        <f>IMAGE("https://mitra.stanford.edu/kundaje/oak/projects/neuro-variants/variant_position/credible/roussos_2024/variant_figures/roussos_2024.infant.GLU/rs59666344_profile_position.png",4,220,900)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-0.087704277</v>
      </c>
      <c r="G3942" t="n">
        <v>0.0657873234733439</v>
      </c>
      <c r="H3942" t="n">
        <v>0.014425852621143</v>
      </c>
      <c r="I3942" t="n">
        <v>0.3935168606447967</v>
      </c>
      <c r="J3942" t="n">
        <v>0.0524978504817125</v>
      </c>
      <c r="K3942" t="n">
        <v>0.3416413491036259</v>
      </c>
      <c r="L3942" t="b">
        <v>0</v>
      </c>
      <c r="M3942" t="b">
        <v>0</v>
      </c>
      <c r="N3942" t="inlineStr">
        <is>
          <t>ref</t>
        </is>
      </c>
      <c r="O3942" t="n">
        <v>65</v>
      </c>
      <c r="P3942" t="n">
        <v>0.001434</v>
      </c>
      <c r="Q3942" t="n">
        <v>20</v>
      </c>
      <c r="R3942" t="n">
        <v>0.02069</v>
      </c>
      <c r="S3942">
        <f>IMAGE("https://mitra.stanford.edu/kundaje/oak/projects/neuro-variants/variant_position/credible/roussos_2024/variant_figures/roussos_2024.infant.GLU/rs2612609_count_position.png",4,220,900)</f>
        <v/>
      </c>
      <c r="T3942">
        <f>IMAGE("https://mitra.stanford.edu/kundaje/oak/projects/neuro-variants/variant_position/credible/roussos_2024/variant_figures/roussos_2024.infant.GLU/rs2612609_profile_position.png",4,220,900)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-0.00433176022</v>
      </c>
      <c r="G3943" t="n">
        <v>0.8198464781731593</v>
      </c>
      <c r="H3943" t="n">
        <v>0.0390767584297275</v>
      </c>
      <c r="I3943" t="n">
        <v>0.0222438975425389</v>
      </c>
      <c r="J3943" t="n">
        <v>0.1313631252893582</v>
      </c>
      <c r="K3943" t="n">
        <v>0.1689036402249322</v>
      </c>
      <c r="L3943" t="b">
        <v>0</v>
      </c>
      <c r="M3943" t="b">
        <v>0</v>
      </c>
      <c r="N3943" t="inlineStr">
        <is>
          <t>ref</t>
        </is>
      </c>
      <c r="O3943" t="n">
        <v>100</v>
      </c>
      <c r="P3943" t="n">
        <v>0.1299</v>
      </c>
      <c r="Q3943" t="n">
        <v>100</v>
      </c>
      <c r="R3943" t="n">
        <v>0.2712</v>
      </c>
      <c r="S3943">
        <f>IMAGE("https://mitra.stanford.edu/kundaje/oak/projects/neuro-variants/variant_position/credible/roussos_2024/variant_figures/roussos_2024.infant.GLU/rs2600467_count_position.png",4,220,900)</f>
        <v/>
      </c>
      <c r="T3943">
        <f>IMAGE("https://mitra.stanford.edu/kundaje/oak/projects/neuro-variants/variant_position/credible/roussos_2024/variant_figures/roussos_2024.infant.GLU/rs2600467_profile_position.png",4,220,900)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0.0336850872</v>
      </c>
      <c r="G3944" t="n">
        <v>0.2809067416830954</v>
      </c>
      <c r="H3944" t="n">
        <v>0.0097184609744254</v>
      </c>
      <c r="I3944" t="n">
        <v>0.7053976254213989</v>
      </c>
      <c r="J3944" t="n">
        <v>0.0038977931612248</v>
      </c>
      <c r="K3944" t="n">
        <v>0.793458077751048</v>
      </c>
      <c r="L3944" t="b">
        <v>0</v>
      </c>
      <c r="M3944" t="b">
        <v>0</v>
      </c>
      <c r="N3944" t="inlineStr">
        <is>
          <t>alt</t>
        </is>
      </c>
      <c r="O3944" t="n">
        <v>95</v>
      </c>
      <c r="P3944" t="n">
        <v>0.01411</v>
      </c>
      <c r="Q3944" t="n">
        <v>90</v>
      </c>
      <c r="R3944" t="n">
        <v>0.05402</v>
      </c>
      <c r="S3944">
        <f>IMAGE("https://mitra.stanford.edu/kundaje/oak/projects/neuro-variants/variant_position/credible/roussos_2024/variant_figures/roussos_2024.infant.GLU/rs2577893_count_position.png",4,220,900)</f>
        <v/>
      </c>
      <c r="T3944">
        <f>IMAGE("https://mitra.stanford.edu/kundaje/oak/projects/neuro-variants/variant_position/credible/roussos_2024/variant_figures/roussos_2024.infant.GLU/rs2577893_profile_position.png",4,220,900)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0.01111264102</v>
      </c>
      <c r="G3945" t="n">
        <v>0.5395010632561186</v>
      </c>
      <c r="H3945" t="n">
        <v>0.008423630832483099</v>
      </c>
      <c r="I3945" t="n">
        <v>0.8661801732969617</v>
      </c>
      <c r="J3945" t="n">
        <v>0.1709781961683458</v>
      </c>
      <c r="K3945" t="n">
        <v>0.1313993867878473</v>
      </c>
      <c r="L3945" t="b">
        <v>0</v>
      </c>
      <c r="M3945" t="b">
        <v>0</v>
      </c>
      <c r="N3945" t="inlineStr">
        <is>
          <t>alt</t>
        </is>
      </c>
      <c r="O3945" t="n">
        <v>-5</v>
      </c>
      <c r="P3945" t="n">
        <v>0.000702</v>
      </c>
      <c r="Q3945" t="n">
        <v>100</v>
      </c>
      <c r="R3945" t="n">
        <v>0.4543</v>
      </c>
      <c r="S3945">
        <f>IMAGE("https://mitra.stanford.edu/kundaje/oak/projects/neuro-variants/variant_position/credible/roussos_2024/variant_figures/roussos_2024.infant.GLU/rs2612589_count_position.png",4,220,900)</f>
        <v/>
      </c>
      <c r="T3945">
        <f>IMAGE("https://mitra.stanford.edu/kundaje/oak/projects/neuro-variants/variant_position/credible/roussos_2024/variant_figures/roussos_2024.infant.GLU/rs2612589_profile_position.png",4,220,900)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-0.008561253600000001</v>
      </c>
      <c r="G3946" t="n">
        <v>0.6823520944141376</v>
      </c>
      <c r="H3946" t="n">
        <v>0.0351389512017439</v>
      </c>
      <c r="I3946" t="n">
        <v>0.0333541733834192</v>
      </c>
      <c r="J3946" t="n">
        <v>0.009970457902511</v>
      </c>
      <c r="K3946" t="n">
        <v>0.6539609430677196</v>
      </c>
      <c r="L3946" t="b">
        <v>0</v>
      </c>
      <c r="M3946" t="b">
        <v>0</v>
      </c>
      <c r="N3946" t="inlineStr">
        <is>
          <t>ref</t>
        </is>
      </c>
      <c r="O3946" t="n">
        <v>-95</v>
      </c>
      <c r="P3946" t="n">
        <v>0.04877</v>
      </c>
      <c r="Q3946" t="n">
        <v>-100</v>
      </c>
      <c r="R3946" t="n">
        <v>0.0965</v>
      </c>
      <c r="S3946">
        <f>IMAGE("https://mitra.stanford.edu/kundaje/oak/projects/neuro-variants/variant_position/credible/roussos_2024/variant_figures/roussos_2024.infant.GLU/rs10504376_count_position.png",4,220,900)</f>
        <v/>
      </c>
      <c r="T3946">
        <f>IMAGE("https://mitra.stanford.edu/kundaje/oak/projects/neuro-variants/variant_position/credible/roussos_2024/variant_figures/roussos_2024.infant.GLU/rs10504376_profile_position.png",4,220,900)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-0.162518256</v>
      </c>
      <c r="G3947" t="n">
        <v>0.0170216662705107</v>
      </c>
      <c r="H3947" t="n">
        <v>0.0408333368502897</v>
      </c>
      <c r="I3947" t="n">
        <v>0.0184402527894035</v>
      </c>
      <c r="J3947" t="n">
        <v>0.1555545757181595</v>
      </c>
      <c r="K3947" t="n">
        <v>0.1430848944922229</v>
      </c>
      <c r="L3947" t="b">
        <v>1</v>
      </c>
      <c r="M3947" t="b">
        <v>0</v>
      </c>
      <c r="N3947" t="inlineStr">
        <is>
          <t>ref</t>
        </is>
      </c>
      <c r="O3947" t="n">
        <v>-15</v>
      </c>
      <c r="P3947" t="n">
        <v>0.00277</v>
      </c>
      <c r="Q3947" t="n">
        <v>55</v>
      </c>
      <c r="R3947" t="n">
        <v>0.09619999999999999</v>
      </c>
      <c r="S3947">
        <f>IMAGE("https://mitra.stanford.edu/kundaje/oak/projects/neuro-variants/variant_position/credible/roussos_2024/variant_figures/roussos_2024.infant.GLU/rs16931253_count_position.png",4,220,900)</f>
        <v/>
      </c>
      <c r="T3947">
        <f>IMAGE("https://mitra.stanford.edu/kundaje/oak/projects/neuro-variants/variant_position/credible/roussos_2024/variant_figures/roussos_2024.infant.GLU/rs16931253_profile_position.png",4,220,900)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-0.0448819172</v>
      </c>
      <c r="G3948" t="n">
        <v>0.1953915909937038</v>
      </c>
      <c r="H3948" t="n">
        <v>0.008175990454109701</v>
      </c>
      <c r="I3948" t="n">
        <v>0.8963908561202613</v>
      </c>
      <c r="J3948" t="n">
        <v>0.0177561233713264</v>
      </c>
      <c r="K3948" t="n">
        <v>0.5608036978537039</v>
      </c>
      <c r="L3948" t="b">
        <v>0</v>
      </c>
      <c r="M3948" t="b">
        <v>0</v>
      </c>
      <c r="N3948" t="inlineStr">
        <is>
          <t>ref</t>
        </is>
      </c>
      <c r="O3948" t="n">
        <v>-100</v>
      </c>
      <c r="P3948" t="n">
        <v>0.00647</v>
      </c>
      <c r="Q3948" t="n">
        <v>100</v>
      </c>
      <c r="R3948" t="n">
        <v>0.1245</v>
      </c>
      <c r="S3948">
        <f>IMAGE("https://mitra.stanford.edu/kundaje/oak/projects/neuro-variants/variant_position/credible/roussos_2024/variant_figures/roussos_2024.infant.GLU/rs9643569_count_position.png",4,220,900)</f>
        <v/>
      </c>
      <c r="T3948">
        <f>IMAGE("https://mitra.stanford.edu/kundaje/oak/projects/neuro-variants/variant_position/credible/roussos_2024/variant_figures/roussos_2024.infant.GLU/rs9643569_profile_position.png",4,220,900)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0.0096957959</v>
      </c>
      <c r="G3949" t="n">
        <v>0.6313274977837668</v>
      </c>
      <c r="H3949" t="n">
        <v>0.0447427984109309</v>
      </c>
      <c r="I3949" t="n">
        <v>0.0127443878963089</v>
      </c>
      <c r="J3949" t="n">
        <v>0.5132718975286051</v>
      </c>
      <c r="K3949" t="n">
        <v>0.0291447118226922</v>
      </c>
      <c r="L3949" t="b">
        <v>1</v>
      </c>
      <c r="M3949" t="b">
        <v>0</v>
      </c>
      <c r="N3949" t="inlineStr">
        <is>
          <t>alt</t>
        </is>
      </c>
      <c r="O3949" t="n">
        <v>60</v>
      </c>
      <c r="P3949" t="n">
        <v>0.0239</v>
      </c>
      <c r="Q3949" t="n">
        <v>-100</v>
      </c>
      <c r="R3949" t="n">
        <v>0.1313</v>
      </c>
      <c r="S3949">
        <f>IMAGE("https://mitra.stanford.edu/kundaje/oak/projects/neuro-variants/variant_position/credible/roussos_2024/variant_figures/roussos_2024.infant.GLU/rs4737675_count_position.png",4,220,900)</f>
        <v/>
      </c>
      <c r="T3949">
        <f>IMAGE("https://mitra.stanford.edu/kundaje/oak/projects/neuro-variants/variant_position/credible/roussos_2024/variant_figures/roussos_2024.infant.GLU/rs4737675_profile_position.png",4,220,900)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0.0710168436</v>
      </c>
      <c r="G3950" t="n">
        <v>0.0943922666369138</v>
      </c>
      <c r="H3950" t="n">
        <v>0.0139079434086275</v>
      </c>
      <c r="I3950" t="n">
        <v>0.4203572826505004</v>
      </c>
      <c r="J3950" t="n">
        <v>0.6316045327277938</v>
      </c>
      <c r="K3950" t="n">
        <v>0.0187743565207986</v>
      </c>
      <c r="L3950" t="b">
        <v>0</v>
      </c>
      <c r="M3950" t="b">
        <v>0</v>
      </c>
      <c r="N3950" t="inlineStr">
        <is>
          <t>alt</t>
        </is>
      </c>
      <c r="O3950" t="n">
        <v>-100</v>
      </c>
      <c r="P3950" t="n">
        <v>0.006058</v>
      </c>
      <c r="Q3950" t="n">
        <v>-100</v>
      </c>
      <c r="R3950" t="n">
        <v>0.1799</v>
      </c>
      <c r="S3950">
        <f>IMAGE("https://mitra.stanford.edu/kundaje/oak/projects/neuro-variants/variant_position/credible/roussos_2024/variant_figures/roussos_2024.infant.GLU/rs3779870_count_position.png",4,220,900)</f>
        <v/>
      </c>
      <c r="T3950">
        <f>IMAGE("https://mitra.stanford.edu/kundaje/oak/projects/neuro-variants/variant_position/credible/roussos_2024/variant_figures/roussos_2024.infant.GLU/rs3779870_profile_position.png",4,220,900)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0.009219409265999999</v>
      </c>
      <c r="G3951" t="n">
        <v>0.6577430569870848</v>
      </c>
      <c r="H3951" t="n">
        <v>0.0325199926656296</v>
      </c>
      <c r="I3951" t="n">
        <v>0.043837534372093</v>
      </c>
      <c r="J3951" t="n">
        <v>0.0516336338984545</v>
      </c>
      <c r="K3951" t="n">
        <v>0.3432128452971612</v>
      </c>
      <c r="L3951" t="b">
        <v>0</v>
      </c>
      <c r="M3951" t="b">
        <v>0</v>
      </c>
      <c r="N3951" t="inlineStr">
        <is>
          <t>alt</t>
        </is>
      </c>
      <c r="O3951" t="n">
        <v>-10</v>
      </c>
      <c r="P3951" t="n">
        <v>6.104e-05</v>
      </c>
      <c r="Q3951" t="n">
        <v>-100</v>
      </c>
      <c r="R3951" t="n">
        <v>0.1392</v>
      </c>
      <c r="S3951">
        <f>IMAGE("https://mitra.stanford.edu/kundaje/oak/projects/neuro-variants/variant_position/credible/roussos_2024/variant_figures/roussos_2024.infant.GLU/rs4452822_count_position.png",4,220,900)</f>
        <v/>
      </c>
      <c r="T3951">
        <f>IMAGE("https://mitra.stanford.edu/kundaje/oak/projects/neuro-variants/variant_position/credible/roussos_2024/variant_figures/roussos_2024.infant.GLU/rs4452822_profile_position.png",4,220,900)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-0.051409979</v>
      </c>
      <c r="G3952" t="n">
        <v>0.1760963736239282</v>
      </c>
      <c r="H3952" t="n">
        <v>0.0164631777603331</v>
      </c>
      <c r="I3952" t="n">
        <v>0.2937347006319498</v>
      </c>
      <c r="J3952" t="n">
        <v>0.0820972684582993</v>
      </c>
      <c r="K3952" t="n">
        <v>0.2430520743157634</v>
      </c>
      <c r="L3952" t="b">
        <v>0</v>
      </c>
      <c r="M3952" t="b">
        <v>0</v>
      </c>
      <c r="N3952" t="inlineStr">
        <is>
          <t>ref</t>
        </is>
      </c>
      <c r="O3952" t="n">
        <v>-30</v>
      </c>
      <c r="P3952" t="n">
        <v>0.003616</v>
      </c>
      <c r="Q3952" t="n">
        <v>100</v>
      </c>
      <c r="R3952" t="n">
        <v>0.2065</v>
      </c>
      <c r="S3952">
        <f>IMAGE("https://mitra.stanford.edu/kundaje/oak/projects/neuro-variants/variant_position/credible/roussos_2024/variant_figures/roussos_2024.infant.GLU/rs11996031_count_position.png",4,220,900)</f>
        <v/>
      </c>
      <c r="T3952">
        <f>IMAGE("https://mitra.stanford.edu/kundaje/oak/projects/neuro-variants/variant_position/credible/roussos_2024/variant_figures/roussos_2024.infant.GLU/rs11996031_profile_position.png",4,220,900)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0.0202789901999999</v>
      </c>
      <c r="G3953" t="n">
        <v>0.4342033653287768</v>
      </c>
      <c r="H3953" t="n">
        <v>0.024767109609713</v>
      </c>
      <c r="I3953" t="n">
        <v>0.1032253675235296</v>
      </c>
      <c r="J3953" t="n">
        <v>0.0460316585462642</v>
      </c>
      <c r="K3953" t="n">
        <v>0.3577636017502829</v>
      </c>
      <c r="L3953" t="b">
        <v>0</v>
      </c>
      <c r="M3953" t="b">
        <v>0</v>
      </c>
      <c r="N3953" t="inlineStr">
        <is>
          <t>alt</t>
        </is>
      </c>
      <c r="O3953" t="n">
        <v>-100</v>
      </c>
      <c r="P3953" t="n">
        <v>0.01646</v>
      </c>
      <c r="Q3953" t="n">
        <v>-75</v>
      </c>
      <c r="R3953" t="n">
        <v>0.07489999999999999</v>
      </c>
      <c r="S3953">
        <f>IMAGE("https://mitra.stanford.edu/kundaje/oak/projects/neuro-variants/variant_position/credible/roussos_2024/variant_figures/roussos_2024.infant.GLU/rs4236934_count_position.png",4,220,900)</f>
        <v/>
      </c>
      <c r="T3953">
        <f>IMAGE("https://mitra.stanford.edu/kundaje/oak/projects/neuro-variants/variant_position/credible/roussos_2024/variant_figures/roussos_2024.infant.GLU/rs4236934_profile_position.png",4,220,900)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-0.02844720464</v>
      </c>
      <c r="G3954" t="n">
        <v>0.2917219651469721</v>
      </c>
      <c r="H3954" t="n">
        <v>0.0139553035272286</v>
      </c>
      <c r="I3954" t="n">
        <v>0.4335752745992201</v>
      </c>
      <c r="J3954" t="n">
        <v>0.1334894949183182</v>
      </c>
      <c r="K3954" t="n">
        <v>0.160629112941037</v>
      </c>
      <c r="L3954" t="b">
        <v>0</v>
      </c>
      <c r="M3954" t="b">
        <v>0</v>
      </c>
      <c r="N3954" t="inlineStr">
        <is>
          <t>ref</t>
        </is>
      </c>
      <c r="O3954" t="n">
        <v>85</v>
      </c>
      <c r="P3954" t="n">
        <v>0.02039</v>
      </c>
      <c r="Q3954" t="n">
        <v>-90</v>
      </c>
      <c r="R3954" t="n">
        <v>0.05176</v>
      </c>
      <c r="S3954">
        <f>IMAGE("https://mitra.stanford.edu/kundaje/oak/projects/neuro-variants/variant_position/credible/roussos_2024/variant_figures/roussos_2024.infant.GLU/rs4486246_count_position.png",4,220,900)</f>
        <v/>
      </c>
      <c r="T3954">
        <f>IMAGE("https://mitra.stanford.edu/kundaje/oak/projects/neuro-variants/variant_position/credible/roussos_2024/variant_figures/roussos_2024.infant.GLU/rs4486246_profile_position.png",4,220,900)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0.0452492897999999</v>
      </c>
      <c r="G3955" t="n">
        <v>0.2181787002337111</v>
      </c>
      <c r="H3955" t="n">
        <v>0.0168365175450857</v>
      </c>
      <c r="I3955" t="n">
        <v>0.280044877132221</v>
      </c>
      <c r="J3955" t="n">
        <v>0.0026654026764257</v>
      </c>
      <c r="K3955" t="n">
        <v>0.8225930386768358</v>
      </c>
      <c r="L3955" t="b">
        <v>0</v>
      </c>
      <c r="M3955" t="b">
        <v>0</v>
      </c>
      <c r="N3955" t="inlineStr">
        <is>
          <t>alt</t>
        </is>
      </c>
      <c r="O3955" t="n">
        <v>-30</v>
      </c>
      <c r="P3955" t="n">
        <v>0.007584</v>
      </c>
      <c r="Q3955" t="n">
        <v>95</v>
      </c>
      <c r="R3955" t="n">
        <v>0.04517</v>
      </c>
      <c r="S3955">
        <f>IMAGE("https://mitra.stanford.edu/kundaje/oak/projects/neuro-variants/variant_position/credible/roussos_2024/variant_figures/roussos_2024.infant.GLU/rs6999999_count_position.png",4,220,900)</f>
        <v/>
      </c>
      <c r="T3955">
        <f>IMAGE("https://mitra.stanford.edu/kundaje/oak/projects/neuro-variants/variant_position/credible/roussos_2024/variant_figures/roussos_2024.infant.GLU/rs6999999_profile_position.png",4,220,900)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0.01142473642</v>
      </c>
      <c r="G3956" t="n">
        <v>0.5935902984023644</v>
      </c>
      <c r="H3956" t="n">
        <v>0.009581493784204399</v>
      </c>
      <c r="I3956" t="n">
        <v>0.7803945909372606</v>
      </c>
      <c r="J3956" t="n">
        <v>0.08031041248704771</v>
      </c>
      <c r="K3956" t="n">
        <v>0.2729414606557218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0.0598</v>
      </c>
      <c r="Q3956" t="n">
        <v>-100</v>
      </c>
      <c r="R3956" t="n">
        <v>0.2007</v>
      </c>
      <c r="S3956">
        <f>IMAGE("https://mitra.stanford.edu/kundaje/oak/projects/neuro-variants/variant_position/credible/roussos_2024/variant_figures/roussos_2024.infant.GLU/rs7827287_count_position.png",4,220,900)</f>
        <v/>
      </c>
      <c r="T3956">
        <f>IMAGE("https://mitra.stanford.edu/kundaje/oak/projects/neuro-variants/variant_position/credible/roussos_2024/variant_figures/roussos_2024.infant.GLU/rs7827287_profile_position.png",4,220,900)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0.1711476219999999</v>
      </c>
      <c r="G3957" t="n">
        <v>0.0151557988656007</v>
      </c>
      <c r="H3957" t="n">
        <v>0.0308367846425782</v>
      </c>
      <c r="I3957" t="n">
        <v>0.0528384280035564</v>
      </c>
      <c r="J3957" t="n">
        <v>0.1494521484159703</v>
      </c>
      <c r="K3957" t="n">
        <v>0.1492813521654102</v>
      </c>
      <c r="L3957" t="b">
        <v>1</v>
      </c>
      <c r="M3957" t="b">
        <v>0</v>
      </c>
      <c r="N3957" t="inlineStr">
        <is>
          <t>alt</t>
        </is>
      </c>
      <c r="O3957" t="n">
        <v>-10</v>
      </c>
      <c r="P3957" t="n">
        <v>0.002197</v>
      </c>
      <c r="Q3957" t="n">
        <v>-75</v>
      </c>
      <c r="R3957" t="n">
        <v>0.1746</v>
      </c>
      <c r="S3957">
        <f>IMAGE("https://mitra.stanford.edu/kundaje/oak/projects/neuro-variants/variant_position/credible/roussos_2024/variant_figures/roussos_2024.infant.GLU/rs13252547_count_position.png",4,220,900)</f>
        <v/>
      </c>
      <c r="T3957">
        <f>IMAGE("https://mitra.stanford.edu/kundaje/oak/projects/neuro-variants/variant_position/credible/roussos_2024/variant_figures/roussos_2024.infant.GLU/rs13252547_profile_position.png",4,220,900)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0.0275975725399999</v>
      </c>
      <c r="G3958" t="n">
        <v>0.3040201754117771</v>
      </c>
      <c r="H3958" t="n">
        <v>0.0180147892919826</v>
      </c>
      <c r="I3958" t="n">
        <v>0.2392735028270531</v>
      </c>
      <c r="J3958" t="n">
        <v>0.0391421768557507</v>
      </c>
      <c r="K3958" t="n">
        <v>0.3941428273323936</v>
      </c>
      <c r="L3958" t="b">
        <v>0</v>
      </c>
      <c r="M3958" t="b">
        <v>0</v>
      </c>
      <c r="N3958" t="inlineStr">
        <is>
          <t>alt</t>
        </is>
      </c>
      <c r="O3958" t="n">
        <v>-70</v>
      </c>
      <c r="P3958" t="n">
        <v>0.0048</v>
      </c>
      <c r="Q3958" t="n">
        <v>80</v>
      </c>
      <c r="R3958" t="n">
        <v>0.1963</v>
      </c>
      <c r="S3958">
        <f>IMAGE("https://mitra.stanford.edu/kundaje/oak/projects/neuro-variants/variant_position/credible/roussos_2024/variant_figures/roussos_2024.infant.GLU/rs4574807_count_position.png",4,220,900)</f>
        <v/>
      </c>
      <c r="T3958">
        <f>IMAGE("https://mitra.stanford.edu/kundaje/oak/projects/neuro-variants/variant_position/credible/roussos_2024/variant_figures/roussos_2024.infant.GLU/rs4574807_profile_position.png",4,220,900)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0.0456618672</v>
      </c>
      <c r="G3959" t="n">
        <v>0.1843776135543466</v>
      </c>
      <c r="H3959" t="n">
        <v>0.0193060395346817</v>
      </c>
      <c r="I3959" t="n">
        <v>0.1991846247933167</v>
      </c>
      <c r="J3959" t="n">
        <v>0.0418494675808549</v>
      </c>
      <c r="K3959" t="n">
        <v>0.3784786364273352</v>
      </c>
      <c r="L3959" t="b">
        <v>0</v>
      </c>
      <c r="M3959" t="b">
        <v>0</v>
      </c>
      <c r="N3959" t="inlineStr">
        <is>
          <t>alt</t>
        </is>
      </c>
      <c r="O3959" t="n">
        <v>15</v>
      </c>
      <c r="P3959" t="n">
        <v>0.00299</v>
      </c>
      <c r="Q3959" t="n">
        <v>55</v>
      </c>
      <c r="R3959" t="n">
        <v>0.11865</v>
      </c>
      <c r="S3959">
        <f>IMAGE("https://mitra.stanford.edu/kundaje/oak/projects/neuro-variants/variant_position/credible/roussos_2024/variant_figures/roussos_2024.infant.GLU/rs4265143_count_position.png",4,220,900)</f>
        <v/>
      </c>
      <c r="T3959">
        <f>IMAGE("https://mitra.stanford.edu/kundaje/oak/projects/neuro-variants/variant_position/credible/roussos_2024/variant_figures/roussos_2024.infant.GLU/rs4265143_profile_position.png",4,220,900)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-0.0635283804</v>
      </c>
      <c r="G3960" t="n">
        <v>0.120017163906</v>
      </c>
      <c r="H3960" t="n">
        <v>0.015147132961811</v>
      </c>
      <c r="I3960" t="n">
        <v>0.353017568998221</v>
      </c>
      <c r="J3960" t="n">
        <v>0.0201635838532595</v>
      </c>
      <c r="K3960" t="n">
        <v>0.5500639814568064</v>
      </c>
      <c r="L3960" t="b">
        <v>0</v>
      </c>
      <c r="M3960" t="b">
        <v>0</v>
      </c>
      <c r="N3960" t="inlineStr">
        <is>
          <t>ref</t>
        </is>
      </c>
      <c r="O3960" t="n">
        <v>90</v>
      </c>
      <c r="P3960" t="n">
        <v>0.0775</v>
      </c>
      <c r="Q3960" t="n">
        <v>45</v>
      </c>
      <c r="R3960" t="n">
        <v>0.06775</v>
      </c>
      <c r="S3960">
        <f>IMAGE("https://mitra.stanford.edu/kundaje/oak/projects/neuro-variants/variant_position/credible/roussos_2024/variant_figures/roussos_2024.infant.GLU/rs11986552_count_position.png",4,220,900)</f>
        <v/>
      </c>
      <c r="T3960">
        <f>IMAGE("https://mitra.stanford.edu/kundaje/oak/projects/neuro-variants/variant_position/credible/roussos_2024/variant_figures/roussos_2024.infant.GLU/rs11986552_profile_position.png",4,220,900)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-0.1902893859999999</v>
      </c>
      <c r="G3961" t="n">
        <v>0.0117566335523408</v>
      </c>
      <c r="H3961" t="n">
        <v>0.0266678375671034</v>
      </c>
      <c r="I3961" t="n">
        <v>0.0858582467248282</v>
      </c>
      <c r="J3961" t="n">
        <v>0.1028384664564915</v>
      </c>
      <c r="K3961" t="n">
        <v>0.2167743147993689</v>
      </c>
      <c r="L3961" t="b">
        <v>1</v>
      </c>
      <c r="M3961" t="b">
        <v>0</v>
      </c>
      <c r="N3961" t="inlineStr">
        <is>
          <t>ref</t>
        </is>
      </c>
      <c r="O3961" t="n">
        <v>100</v>
      </c>
      <c r="P3961" t="n">
        <v>0.01021</v>
      </c>
      <c r="Q3961" t="n">
        <v>-60</v>
      </c>
      <c r="R3961" t="n">
        <v>0.04346</v>
      </c>
      <c r="S3961">
        <f>IMAGE("https://mitra.stanford.edu/kundaje/oak/projects/neuro-variants/variant_position/credible/roussos_2024/variant_figures/roussos_2024.infant.GLU/rs4534094_count_position.png",4,220,900)</f>
        <v/>
      </c>
      <c r="T3961">
        <f>IMAGE("https://mitra.stanford.edu/kundaje/oak/projects/neuro-variants/variant_position/credible/roussos_2024/variant_figures/roussos_2024.infant.GLU/rs4534094_profile_position.png",4,220,900)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-0.0266301447999999</v>
      </c>
      <c r="G3962" t="n">
        <v>0.2975382462701079</v>
      </c>
      <c r="H3962" t="n">
        <v>0.0095724961708973</v>
      </c>
      <c r="I3962" t="n">
        <v>0.7112704458571513</v>
      </c>
      <c r="J3962" t="n">
        <v>0.0959148129367931</v>
      </c>
      <c r="K3962" t="n">
        <v>0.2233210730030682</v>
      </c>
      <c r="L3962" t="b">
        <v>0</v>
      </c>
      <c r="M3962" t="b">
        <v>0</v>
      </c>
      <c r="N3962" t="inlineStr">
        <is>
          <t>ref</t>
        </is>
      </c>
      <c r="O3962" t="n">
        <v>-100</v>
      </c>
      <c r="P3962" t="n">
        <v>0.3147</v>
      </c>
      <c r="Q3962" t="n">
        <v>100</v>
      </c>
      <c r="R3962" t="n">
        <v>0.1646</v>
      </c>
      <c r="S3962">
        <f>IMAGE("https://mitra.stanford.edu/kundaje/oak/projects/neuro-variants/variant_position/credible/roussos_2024/variant_figures/roussos_2024.infant.GLU/rs4739612_count_position.png",4,220,900)</f>
        <v/>
      </c>
      <c r="T3962">
        <f>IMAGE("https://mitra.stanford.edu/kundaje/oak/projects/neuro-variants/variant_position/credible/roussos_2024/variant_figures/roussos_2024.infant.GLU/rs4739612_profile_position.png",4,220,900)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0.00710110674</v>
      </c>
      <c r="G3963" t="n">
        <v>0.7151817084305279</v>
      </c>
      <c r="H3963" t="n">
        <v>0.0420699279117901</v>
      </c>
      <c r="I3963" t="n">
        <v>0.0166049921851654</v>
      </c>
      <c r="J3963" t="n">
        <v>0.0332414735774597</v>
      </c>
      <c r="K3963" t="n">
        <v>0.4365629942499103</v>
      </c>
      <c r="L3963" t="b">
        <v>1</v>
      </c>
      <c r="M3963" t="b">
        <v>0</v>
      </c>
      <c r="N3963" t="inlineStr">
        <is>
          <t>alt</t>
        </is>
      </c>
      <c r="O3963" t="n">
        <v>0</v>
      </c>
      <c r="P3963" t="n">
        <v>0</v>
      </c>
      <c r="Q3963" t="n">
        <v>-75</v>
      </c>
      <c r="R3963" t="n">
        <v>0.04395</v>
      </c>
      <c r="S3963">
        <f>IMAGE("https://mitra.stanford.edu/kundaje/oak/projects/neuro-variants/variant_position/credible/roussos_2024/variant_figures/roussos_2024.infant.GLU/rs58255283_count_position.png",4,220,900)</f>
        <v/>
      </c>
      <c r="T3963">
        <f>IMAGE("https://mitra.stanford.edu/kundaje/oak/projects/neuro-variants/variant_position/credible/roussos_2024/variant_figures/roussos_2024.infant.GLU/rs58255283_profile_position.png",4,220,900)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-0.170327016</v>
      </c>
      <c r="G3964" t="n">
        <v>0.0158060672115844</v>
      </c>
      <c r="H3964" t="n">
        <v>0.0383258751562276</v>
      </c>
      <c r="I3964" t="n">
        <v>0.0241663548023894</v>
      </c>
      <c r="J3964" t="n">
        <v>0.0677087237372957</v>
      </c>
      <c r="K3964" t="n">
        <v>0.2897554403547655</v>
      </c>
      <c r="L3964" t="b">
        <v>1</v>
      </c>
      <c r="M3964" t="b">
        <v>0</v>
      </c>
      <c r="N3964" t="inlineStr">
        <is>
          <t>ref</t>
        </is>
      </c>
      <c r="O3964" t="n">
        <v>90</v>
      </c>
      <c r="P3964" t="n">
        <v>0.006996</v>
      </c>
      <c r="Q3964" t="n">
        <v>95</v>
      </c>
      <c r="R3964" t="n">
        <v>0.09644</v>
      </c>
      <c r="S3964">
        <f>IMAGE("https://mitra.stanford.edu/kundaje/oak/projects/neuro-variants/variant_position/credible/roussos_2024/variant_figures/roussos_2024.infant.GLU/rs13262875_count_position.png",4,220,900)</f>
        <v/>
      </c>
      <c r="T3964">
        <f>IMAGE("https://mitra.stanford.edu/kundaje/oak/projects/neuro-variants/variant_position/credible/roussos_2024/variant_figures/roussos_2024.infant.GLU/rs13262875_profile_position.png",4,220,900)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0.0416772166</v>
      </c>
      <c r="G3965" t="n">
        <v>0.231364499239329</v>
      </c>
      <c r="H3965" t="n">
        <v>0.0108174890735614</v>
      </c>
      <c r="I3965" t="n">
        <v>0.6574694877738034</v>
      </c>
      <c r="J3965" t="n">
        <v>0.0608809718027293</v>
      </c>
      <c r="K3965" t="n">
        <v>0.3044795194965682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0.08014</v>
      </c>
      <c r="Q3965" t="n">
        <v>85</v>
      </c>
      <c r="R3965" t="n">
        <v>0.08887</v>
      </c>
      <c r="S3965">
        <f>IMAGE("https://mitra.stanford.edu/kundaje/oak/projects/neuro-variants/variant_position/credible/roussos_2024/variant_figures/roussos_2024.infant.GLU/rs73291155_count_position.png",4,220,900)</f>
        <v/>
      </c>
      <c r="T3965">
        <f>IMAGE("https://mitra.stanford.edu/kundaje/oak/projects/neuro-variants/variant_position/credible/roussos_2024/variant_figures/roussos_2024.infant.GLU/rs73291155_profile_position.png",4,220,900)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-0.0272847502</v>
      </c>
      <c r="G3966" t="n">
        <v>0.351105766896881</v>
      </c>
      <c r="H3966" t="n">
        <v>0.0487569407877382</v>
      </c>
      <c r="I3966" t="n">
        <v>0.0086551784260359</v>
      </c>
      <c r="J3966" t="n">
        <v>0.007930069005048499</v>
      </c>
      <c r="K3966" t="n">
        <v>0.6966578329912431</v>
      </c>
      <c r="L3966" t="b">
        <v>0</v>
      </c>
      <c r="M3966" t="b">
        <v>0</v>
      </c>
      <c r="N3966" t="inlineStr">
        <is>
          <t>ref</t>
        </is>
      </c>
      <c r="O3966" t="n">
        <v>35</v>
      </c>
      <c r="P3966" t="n">
        <v>0.00711</v>
      </c>
      <c r="Q3966" t="n">
        <v>80</v>
      </c>
      <c r="R3966" t="n">
        <v>0.06619999999999999</v>
      </c>
      <c r="S3966">
        <f>IMAGE("https://mitra.stanford.edu/kundaje/oak/projects/neuro-variants/variant_position/credible/roussos_2024/variant_figures/roussos_2024.infant.GLU/rs6469448_count_position.png",4,220,900)</f>
        <v/>
      </c>
      <c r="T3966">
        <f>IMAGE("https://mitra.stanford.edu/kundaje/oak/projects/neuro-variants/variant_position/credible/roussos_2024/variant_figures/roussos_2024.infant.GLU/rs6469448_profile_position.png",4,220,900)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0.0210256832</v>
      </c>
      <c r="G3967" t="n">
        <v>0.4165902384905192</v>
      </c>
      <c r="H3967" t="n">
        <v>0.0354256312637016</v>
      </c>
      <c r="I3967" t="n">
        <v>0.0322405328746382</v>
      </c>
      <c r="J3967" t="n">
        <v>0.0042946273065984</v>
      </c>
      <c r="K3967" t="n">
        <v>0.7695957885570616</v>
      </c>
      <c r="L3967" t="b">
        <v>0</v>
      </c>
      <c r="M3967" t="b">
        <v>0</v>
      </c>
      <c r="N3967" t="inlineStr">
        <is>
          <t>alt</t>
        </is>
      </c>
      <c r="O3967" t="n">
        <v>-55</v>
      </c>
      <c r="P3967" t="n">
        <v>0.03708</v>
      </c>
      <c r="Q3967" t="n">
        <v>80</v>
      </c>
      <c r="R3967" t="n">
        <v>0.02972</v>
      </c>
      <c r="S3967">
        <f>IMAGE("https://mitra.stanford.edu/kundaje/oak/projects/neuro-variants/variant_position/credible/roussos_2024/variant_figures/roussos_2024.infant.GLU/rs16884208_count_position.png",4,220,900)</f>
        <v/>
      </c>
      <c r="T3967">
        <f>IMAGE("https://mitra.stanford.edu/kundaje/oak/projects/neuro-variants/variant_position/credible/roussos_2024/variant_figures/roussos_2024.infant.GLU/rs16884208_profile_position.png",4,220,900)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0.180644944</v>
      </c>
      <c r="G3968" t="n">
        <v>0.0134020531729581</v>
      </c>
      <c r="H3968" t="n">
        <v>0.0247947950240236</v>
      </c>
      <c r="I3968" t="n">
        <v>0.1035910008743633</v>
      </c>
      <c r="J3968" t="n">
        <v>0.0549901893780726</v>
      </c>
      <c r="K3968" t="n">
        <v>0.3188073585027845</v>
      </c>
      <c r="L3968" t="b">
        <v>1</v>
      </c>
      <c r="M3968" t="b">
        <v>0</v>
      </c>
      <c r="N3968" t="inlineStr">
        <is>
          <t>alt</t>
        </is>
      </c>
      <c r="O3968" t="n">
        <v>50</v>
      </c>
      <c r="P3968" t="n">
        <v>0.02283</v>
      </c>
      <c r="Q3968" t="n">
        <v>40</v>
      </c>
      <c r="R3968" t="n">
        <v>0.036</v>
      </c>
      <c r="S3968">
        <f>IMAGE("https://mitra.stanford.edu/kundaje/oak/projects/neuro-variants/variant_position/credible/roussos_2024/variant_figures/roussos_2024.infant.GLU/rs7007660_count_position.png",4,220,900)</f>
        <v/>
      </c>
      <c r="T3968">
        <f>IMAGE("https://mitra.stanford.edu/kundaje/oak/projects/neuro-variants/variant_position/credible/roussos_2024/variant_figures/roussos_2024.infant.GLU/rs7007660_profile_position.png",4,220,900)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0.196749696</v>
      </c>
      <c r="G3969" t="n">
        <v>0.0105453763186626</v>
      </c>
      <c r="H3969" t="n">
        <v>0.0251641979519445</v>
      </c>
      <c r="I3969" t="n">
        <v>0.1004681190836091</v>
      </c>
      <c r="J3969" t="n">
        <v>0.119108666416808</v>
      </c>
      <c r="K3969" t="n">
        <v>0.1792991406385502</v>
      </c>
      <c r="L3969" t="b">
        <v>1</v>
      </c>
      <c r="M3969" t="b">
        <v>0</v>
      </c>
      <c r="N3969" t="inlineStr">
        <is>
          <t>alt</t>
        </is>
      </c>
      <c r="O3969" t="n">
        <v>65</v>
      </c>
      <c r="P3969" t="n">
        <v>0.01872</v>
      </c>
      <c r="Q3969" t="n">
        <v>65</v>
      </c>
      <c r="R3969" t="n">
        <v>0.1001</v>
      </c>
      <c r="S3969">
        <f>IMAGE("https://mitra.stanford.edu/kundaje/oak/projects/neuro-variants/variant_position/credible/roussos_2024/variant_figures/roussos_2024.infant.GLU/rs16884246_count_position.png",4,220,900)</f>
        <v/>
      </c>
      <c r="T3969">
        <f>IMAGE("https://mitra.stanford.edu/kundaje/oak/projects/neuro-variants/variant_position/credible/roussos_2024/variant_figures/roussos_2024.infant.GLU/rs16884246_profile_position.png",4,220,900)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0.3192003</v>
      </c>
      <c r="G3970" t="n">
        <v>0.0026246406532644</v>
      </c>
      <c r="H3970" t="n">
        <v>0.0447052258639706</v>
      </c>
      <c r="I3970" t="n">
        <v>0.0129481129667782</v>
      </c>
      <c r="J3970" t="n">
        <v>0.107686456932472</v>
      </c>
      <c r="K3970" t="n">
        <v>0.1951930157947738</v>
      </c>
      <c r="L3970" t="b">
        <v>1</v>
      </c>
      <c r="M3970" t="b">
        <v>1</v>
      </c>
      <c r="N3970" t="inlineStr">
        <is>
          <t>alt</t>
        </is>
      </c>
      <c r="O3970" t="n">
        <v>-40</v>
      </c>
      <c r="P3970" t="n">
        <v>0.06033</v>
      </c>
      <c r="Q3970" t="n">
        <v>75</v>
      </c>
      <c r="R3970" t="n">
        <v>0.04834</v>
      </c>
      <c r="S3970">
        <f>IMAGE("https://mitra.stanford.edu/kundaje/oak/projects/neuro-variants/variant_position/credible/roussos_2024/variant_figures/roussos_2024.infant.GLU/rs34846572_count_position.png",4,220,900)</f>
        <v/>
      </c>
      <c r="T3970">
        <f>IMAGE("https://mitra.stanford.edu/kundaje/oak/projects/neuro-variants/variant_position/credible/roussos_2024/variant_figures/roussos_2024.infant.GLU/rs34846572_profile_position.png",4,220,900)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-0.02486252632</v>
      </c>
      <c r="G3971" t="n">
        <v>0.3877320230014477</v>
      </c>
      <c r="H3971" t="n">
        <v>0.0172931820085893</v>
      </c>
      <c r="I3971" t="n">
        <v>0.2673966195719064</v>
      </c>
      <c r="J3971" t="n">
        <v>0.0251570801825436</v>
      </c>
      <c r="K3971" t="n">
        <v>0.4975770700246509</v>
      </c>
      <c r="L3971" t="b">
        <v>0</v>
      </c>
      <c r="M3971" t="b">
        <v>0</v>
      </c>
      <c r="N3971" t="inlineStr">
        <is>
          <t>ref</t>
        </is>
      </c>
      <c r="O3971" t="n">
        <v>-100</v>
      </c>
      <c r="P3971" t="n">
        <v>0.006664</v>
      </c>
      <c r="Q3971" t="n">
        <v>100</v>
      </c>
      <c r="R3971" t="n">
        <v>0.03442</v>
      </c>
      <c r="S3971">
        <f>IMAGE("https://mitra.stanford.edu/kundaje/oak/projects/neuro-variants/variant_position/credible/roussos_2024/variant_figures/roussos_2024.infant.GLU/rs10504857_count_position.png",4,220,900)</f>
        <v/>
      </c>
      <c r="T3971">
        <f>IMAGE("https://mitra.stanford.edu/kundaje/oak/projects/neuro-variants/variant_position/credible/roussos_2024/variant_figures/roussos_2024.infant.GLU/rs10504857_profile_position.png",4,220,900)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0.156396212</v>
      </c>
      <c r="G3972" t="n">
        <v>0.0187098023755019</v>
      </c>
      <c r="H3972" t="n">
        <v>0.0418403588011161</v>
      </c>
      <c r="I3972" t="n">
        <v>0.0170619218341329</v>
      </c>
      <c r="J3972" t="n">
        <v>0.3823772569942018</v>
      </c>
      <c r="K3972" t="n">
        <v>0.0488758262478933</v>
      </c>
      <c r="L3972" t="b">
        <v>1</v>
      </c>
      <c r="M3972" t="b">
        <v>0</v>
      </c>
      <c r="N3972" t="inlineStr">
        <is>
          <t>alt</t>
        </is>
      </c>
      <c r="O3972" t="n">
        <v>-70</v>
      </c>
      <c r="P3972" t="n">
        <v>0.0412</v>
      </c>
      <c r="Q3972" t="n">
        <v>-90</v>
      </c>
      <c r="R3972" t="n">
        <v>0.2554</v>
      </c>
      <c r="S3972">
        <f>IMAGE("https://mitra.stanford.edu/kundaje/oak/projects/neuro-variants/variant_position/credible/roussos_2024/variant_figures/roussos_2024.infant.GLU/rs7838490_count_position.png",4,220,900)</f>
        <v/>
      </c>
      <c r="T3972">
        <f>IMAGE("https://mitra.stanford.edu/kundaje/oak/projects/neuro-variants/variant_position/credible/roussos_2024/variant_figures/roussos_2024.infant.GLU/rs7838490_profile_position.png",4,220,900)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0.01368115124</v>
      </c>
      <c r="G3973" t="n">
        <v>0.5459779219114629</v>
      </c>
      <c r="H3973" t="n">
        <v>0.0348186826016757</v>
      </c>
      <c r="I3973" t="n">
        <v>0.0348371284931779</v>
      </c>
      <c r="J3973" t="n">
        <v>0.0304052117551091</v>
      </c>
      <c r="K3973" t="n">
        <v>0.4546716884260846</v>
      </c>
      <c r="L3973" t="b">
        <v>0</v>
      </c>
      <c r="M3973" t="b">
        <v>0</v>
      </c>
      <c r="N3973" t="inlineStr">
        <is>
          <t>alt</t>
        </is>
      </c>
      <c r="O3973" t="n">
        <v>-25</v>
      </c>
      <c r="P3973" t="n">
        <v>0.00479</v>
      </c>
      <c r="Q3973" t="n">
        <v>90</v>
      </c>
      <c r="R3973" t="n">
        <v>0.0973</v>
      </c>
      <c r="S3973">
        <f>IMAGE("https://mitra.stanford.edu/kundaje/oak/projects/neuro-variants/variant_position/credible/roussos_2024/variant_figures/roussos_2024.infant.GLU/rs71526952_count_position.png",4,220,900)</f>
        <v/>
      </c>
      <c r="T3973">
        <f>IMAGE("https://mitra.stanford.edu/kundaje/oak/projects/neuro-variants/variant_position/credible/roussos_2024/variant_figures/roussos_2024.infant.GLU/rs71526952_profile_position.png",4,220,900)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-0.0208301092</v>
      </c>
      <c r="G3974" t="n">
        <v>0.4460056650643536</v>
      </c>
      <c r="H3974" t="n">
        <v>0.0095310283500438</v>
      </c>
      <c r="I3974" t="n">
        <v>0.7689963474602053</v>
      </c>
      <c r="J3974" t="n">
        <v>0.06745629312815531</v>
      </c>
      <c r="K3974" t="n">
        <v>0.2811011109857558</v>
      </c>
      <c r="L3974" t="b">
        <v>0</v>
      </c>
      <c r="M3974" t="b">
        <v>0</v>
      </c>
      <c r="N3974" t="inlineStr">
        <is>
          <t>ref</t>
        </is>
      </c>
      <c r="O3974" t="n">
        <v>-75</v>
      </c>
      <c r="P3974" t="n">
        <v>0.01078</v>
      </c>
      <c r="Q3974" t="n">
        <v>100</v>
      </c>
      <c r="R3974" t="n">
        <v>0.159</v>
      </c>
      <c r="S3974">
        <f>IMAGE("https://mitra.stanford.edu/kundaje/oak/projects/neuro-variants/variant_position/credible/roussos_2024/variant_figures/roussos_2024.infant.GLU/rs3191333_count_position.png",4,220,900)</f>
        <v/>
      </c>
      <c r="T3974">
        <f>IMAGE("https://mitra.stanford.edu/kundaje/oak/projects/neuro-variants/variant_position/credible/roussos_2024/variant_figures/roussos_2024.infant.GLU/rs3191333_profile_position.png",4,220,900)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0.160268044</v>
      </c>
      <c r="G3975" t="n">
        <v>0.018916536992799</v>
      </c>
      <c r="H3975" t="n">
        <v>0.0303177691640785</v>
      </c>
      <c r="I3975" t="n">
        <v>0.0562678058011669</v>
      </c>
      <c r="J3975" t="n">
        <v>0.7792477788311029</v>
      </c>
      <c r="K3975" t="n">
        <v>0.009318925264751801</v>
      </c>
      <c r="L3975" t="b">
        <v>1</v>
      </c>
      <c r="M3975" t="b">
        <v>0</v>
      </c>
      <c r="N3975" t="inlineStr">
        <is>
          <t>alt</t>
        </is>
      </c>
      <c r="O3975" t="n">
        <v>95</v>
      </c>
      <c r="P3975" t="n">
        <v>0.010315</v>
      </c>
      <c r="Q3975" t="n">
        <v>95</v>
      </c>
      <c r="R3975" t="n">
        <v>0.01074</v>
      </c>
      <c r="S3975">
        <f>IMAGE("https://mitra.stanford.edu/kundaje/oak/projects/neuro-variants/variant_position/credible/roussos_2024/variant_figures/roussos_2024.infant.GLU/rs4734654_count_position.png",4,220,900)</f>
        <v/>
      </c>
      <c r="T3975">
        <f>IMAGE("https://mitra.stanford.edu/kundaje/oak/projects/neuro-variants/variant_position/credible/roussos_2024/variant_figures/roussos_2024.infant.GLU/rs4734654_profile_position.png",4,220,900)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-0.08531059520000001</v>
      </c>
      <c r="G3976" t="n">
        <v>0.0698294184666539</v>
      </c>
      <c r="H3976" t="n">
        <v>0.0138302120165541</v>
      </c>
      <c r="I3976" t="n">
        <v>0.4276489456554951</v>
      </c>
      <c r="J3976" t="n">
        <v>0.1070779779095658</v>
      </c>
      <c r="K3976" t="n">
        <v>0.1970994380975839</v>
      </c>
      <c r="L3976" t="b">
        <v>0</v>
      </c>
      <c r="M3976" t="b">
        <v>0</v>
      </c>
      <c r="N3976" t="inlineStr">
        <is>
          <t>ref</t>
        </is>
      </c>
      <c r="O3976" t="n">
        <v>-40</v>
      </c>
      <c r="P3976" t="n">
        <v>0.004883</v>
      </c>
      <c r="Q3976" t="n">
        <v>-35</v>
      </c>
      <c r="R3976" t="n">
        <v>0.0507</v>
      </c>
      <c r="S3976">
        <f>IMAGE("https://mitra.stanford.edu/kundaje/oak/projects/neuro-variants/variant_position/credible/roussos_2024/variant_figures/roussos_2024.infant.GLU/rs1434281_count_position.png",4,220,900)</f>
        <v/>
      </c>
      <c r="T3976">
        <f>IMAGE("https://mitra.stanford.edu/kundaje/oak/projects/neuro-variants/variant_position/credible/roussos_2024/variant_figures/roussos_2024.infant.GLU/rs1434281_profile_position.png",4,220,900)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-0.01468107558</v>
      </c>
      <c r="G3977" t="n">
        <v>0.4914407539028698</v>
      </c>
      <c r="H3977" t="n">
        <v>0.0355809796245217</v>
      </c>
      <c r="I3977" t="n">
        <v>0.0318305452964658</v>
      </c>
      <c r="J3977" t="n">
        <v>0.000766110363985</v>
      </c>
      <c r="K3977" t="n">
        <v>0.9062764592955004</v>
      </c>
      <c r="L3977" t="b">
        <v>0</v>
      </c>
      <c r="M3977" t="b">
        <v>0</v>
      </c>
      <c r="N3977" t="inlineStr">
        <is>
          <t>ref</t>
        </is>
      </c>
      <c r="O3977" t="n">
        <v>0</v>
      </c>
      <c r="P3977" t="n">
        <v>0</v>
      </c>
      <c r="Q3977" t="n">
        <v>-45</v>
      </c>
      <c r="R3977" t="n">
        <v>0.05573</v>
      </c>
      <c r="S3977">
        <f>IMAGE("https://mitra.stanford.edu/kundaje/oak/projects/neuro-variants/variant_position/credible/roussos_2024/variant_figures/roussos_2024.infant.GLU/rs2436936_count_position.png",4,220,900)</f>
        <v/>
      </c>
      <c r="T3977">
        <f>IMAGE("https://mitra.stanford.edu/kundaje/oak/projects/neuro-variants/variant_position/credible/roussos_2024/variant_figures/roussos_2024.infant.GLU/rs2436936_profile_position.png",4,220,900)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-0.0214613618</v>
      </c>
      <c r="G3978" t="n">
        <v>0.4353238543056093</v>
      </c>
      <c r="H3978" t="n">
        <v>0.0337994954306328</v>
      </c>
      <c r="I3978" t="n">
        <v>0.0381931883938939</v>
      </c>
      <c r="J3978" t="n">
        <v>0.0033223836504331</v>
      </c>
      <c r="K3978" t="n">
        <v>0.7927565388070454</v>
      </c>
      <c r="L3978" t="b">
        <v>0</v>
      </c>
      <c r="M3978" t="b">
        <v>0</v>
      </c>
      <c r="N3978" t="inlineStr">
        <is>
          <t>ref</t>
        </is>
      </c>
      <c r="O3978" t="n">
        <v>-60</v>
      </c>
      <c r="P3978" t="n">
        <v>0.004456</v>
      </c>
      <c r="Q3978" t="n">
        <v>100</v>
      </c>
      <c r="R3978" t="n">
        <v>0.0558</v>
      </c>
      <c r="S3978">
        <f>IMAGE("https://mitra.stanford.edu/kundaje/oak/projects/neuro-variants/variant_position/credible/roussos_2024/variant_figures/roussos_2024.infant.GLU/rs7841632_count_position.png",4,220,900)</f>
        <v/>
      </c>
      <c r="T3978">
        <f>IMAGE("https://mitra.stanford.edu/kundaje/oak/projects/neuro-variants/variant_position/credible/roussos_2024/variant_figures/roussos_2024.infant.GLU/rs7841632_profile_position.png",4,220,900)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-0.07211408459999991</v>
      </c>
      <c r="G3979" t="n">
        <v>0.1045469799196467</v>
      </c>
      <c r="H3979" t="n">
        <v>0.0127577098524316</v>
      </c>
      <c r="I3979" t="n">
        <v>0.5066719600208572</v>
      </c>
      <c r="J3979" t="n">
        <v>0.0399281289270045</v>
      </c>
      <c r="K3979" t="n">
        <v>0.3872568492329273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-40</v>
      </c>
      <c r="R3979" t="n">
        <v>0.02808</v>
      </c>
      <c r="S3979">
        <f>IMAGE("https://mitra.stanford.edu/kundaje/oak/projects/neuro-variants/variant_position/credible/roussos_2024/variant_figures/roussos_2024.infant.GLU/rs36043959_count_position.png",4,220,900)</f>
        <v/>
      </c>
      <c r="T3979">
        <f>IMAGE("https://mitra.stanford.edu/kundaje/oak/projects/neuro-variants/variant_position/credible/roussos_2024/variant_figures/roussos_2024.infant.GLU/rs36043959_profile_position.png",4,220,900)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-0.045032154</v>
      </c>
      <c r="G3980" t="n">
        <v>0.1976388156781071</v>
      </c>
      <c r="H3980" t="n">
        <v>0.0513921243242151</v>
      </c>
      <c r="I3980" t="n">
        <v>0.0066228513522033</v>
      </c>
      <c r="J3980" t="n">
        <v>0.0052944288895257</v>
      </c>
      <c r="K3980" t="n">
        <v>0.7542007481977363</v>
      </c>
      <c r="L3980" t="b">
        <v>0</v>
      </c>
      <c r="M3980" t="b">
        <v>0</v>
      </c>
      <c r="N3980" t="inlineStr">
        <is>
          <t>ref</t>
        </is>
      </c>
      <c r="O3980" t="n">
        <v>50</v>
      </c>
      <c r="P3980" t="n">
        <v>0.009429999999999999</v>
      </c>
      <c r="Q3980" t="n">
        <v>-70</v>
      </c>
      <c r="R3980" t="n">
        <v>0.02454</v>
      </c>
      <c r="S3980">
        <f>IMAGE("https://mitra.stanford.edu/kundaje/oak/projects/neuro-variants/variant_position/credible/roussos_2024/variant_figures/roussos_2024.infant.GLU/rs13267290_count_position.png",4,220,900)</f>
        <v/>
      </c>
      <c r="T3980">
        <f>IMAGE("https://mitra.stanford.edu/kundaje/oak/projects/neuro-variants/variant_position/credible/roussos_2024/variant_figures/roussos_2024.infant.GLU/rs13267290_profile_position.png",4,220,900)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0.15243492</v>
      </c>
      <c r="G3981" t="n">
        <v>0.0225711183299972</v>
      </c>
      <c r="H3981" t="n">
        <v>0.0277947682139883</v>
      </c>
      <c r="I3981" t="n">
        <v>0.07860023019522031</v>
      </c>
      <c r="J3981" t="n">
        <v>0.0460801604973654</v>
      </c>
      <c r="K3981" t="n">
        <v>0.3583524068344654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0.05225</v>
      </c>
      <c r="Q3981" t="n">
        <v>15</v>
      </c>
      <c r="R3981" t="n">
        <v>0.01672</v>
      </c>
      <c r="S3981">
        <f>IMAGE("https://mitra.stanford.edu/kundaje/oak/projects/neuro-variants/variant_position/credible/roussos_2024/variant_figures/roussos_2024.infant.GLU/rs6995307_count_position.png",4,220,900)</f>
        <v/>
      </c>
      <c r="T3981">
        <f>IMAGE("https://mitra.stanford.edu/kundaje/oak/projects/neuro-variants/variant_position/credible/roussos_2024/variant_figures/roussos_2024.infant.GLU/rs6995307_profile_position.png",4,220,900)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-0.0278953098</v>
      </c>
      <c r="G3982" t="n">
        <v>0.3466548328007366</v>
      </c>
      <c r="H3982" t="n">
        <v>0.057203731842458</v>
      </c>
      <c r="I3982" t="n">
        <v>0.0039038864236151</v>
      </c>
      <c r="J3982" t="n">
        <v>0.0042913203553869</v>
      </c>
      <c r="K3982" t="n">
        <v>0.7664281282507889</v>
      </c>
      <c r="L3982" t="b">
        <v>0</v>
      </c>
      <c r="M3982" t="b">
        <v>0</v>
      </c>
      <c r="N3982" t="inlineStr">
        <is>
          <t>ref</t>
        </is>
      </c>
      <c r="O3982" t="n">
        <v>-100</v>
      </c>
      <c r="P3982" t="n">
        <v>0.006287</v>
      </c>
      <c r="Q3982" t="n">
        <v>-55</v>
      </c>
      <c r="R3982" t="n">
        <v>0.05188</v>
      </c>
      <c r="S3982">
        <f>IMAGE("https://mitra.stanford.edu/kundaje/oak/projects/neuro-variants/variant_position/credible/roussos_2024/variant_figures/roussos_2024.infant.GLU/rs111534212_count_position.png",4,220,900)</f>
        <v/>
      </c>
      <c r="T3982">
        <f>IMAGE("https://mitra.stanford.edu/kundaje/oak/projects/neuro-variants/variant_position/credible/roussos_2024/variant_figures/roussos_2024.infant.GLU/rs111534212_profile_position.png",4,220,900)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-0.0358509046</v>
      </c>
      <c r="G3983" t="n">
        <v>0.2731514157876583</v>
      </c>
      <c r="H3983" t="n">
        <v>0.0420285137674052</v>
      </c>
      <c r="I3983" t="n">
        <v>0.0168834465499649</v>
      </c>
      <c r="J3983" t="n">
        <v>0.0272823474944332</v>
      </c>
      <c r="K3983" t="n">
        <v>0.4717597528341014</v>
      </c>
      <c r="L3983" t="b">
        <v>1</v>
      </c>
      <c r="M3983" t="b">
        <v>0</v>
      </c>
      <c r="N3983" t="inlineStr">
        <is>
          <t>ref</t>
        </is>
      </c>
      <c r="O3983" t="n">
        <v>95</v>
      </c>
      <c r="P3983" t="n">
        <v>0.014984</v>
      </c>
      <c r="Q3983" t="n">
        <v>-20</v>
      </c>
      <c r="R3983" t="n">
        <v>0.0547</v>
      </c>
      <c r="S3983">
        <f>IMAGE("https://mitra.stanford.edu/kundaje/oak/projects/neuro-variants/variant_position/credible/roussos_2024/variant_figures/roussos_2024.infant.GLU/rs13280766_count_position.png",4,220,900)</f>
        <v/>
      </c>
      <c r="T3983">
        <f>IMAGE("https://mitra.stanford.edu/kundaje/oak/projects/neuro-variants/variant_position/credible/roussos_2024/variant_figures/roussos_2024.infant.GLU/rs13280766_profile_position.png",4,220,900)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0.00121659344</v>
      </c>
      <c r="G3984" t="n">
        <v>0.8431782792271054</v>
      </c>
      <c r="H3984" t="n">
        <v>0.0284021956512456</v>
      </c>
      <c r="I3984" t="n">
        <v>0.068612202184874</v>
      </c>
      <c r="J3984" t="n">
        <v>0.0497663087810577</v>
      </c>
      <c r="K3984" t="n">
        <v>0.3538051924692301</v>
      </c>
      <c r="L3984" t="b">
        <v>0</v>
      </c>
      <c r="M3984" t="b">
        <v>0</v>
      </c>
      <c r="N3984" t="inlineStr">
        <is>
          <t>alt</t>
        </is>
      </c>
      <c r="O3984" t="n">
        <v>-45</v>
      </c>
      <c r="P3984" t="n">
        <v>0.0573</v>
      </c>
      <c r="Q3984" t="n">
        <v>75</v>
      </c>
      <c r="R3984" t="n">
        <v>0.09454</v>
      </c>
      <c r="S3984">
        <f>IMAGE("https://mitra.stanford.edu/kundaje/oak/projects/neuro-variants/variant_position/credible/roussos_2024/variant_figures/roussos_2024.infant.GLU/rs6990323_count_position.png",4,220,900)</f>
        <v/>
      </c>
      <c r="T3984">
        <f>IMAGE("https://mitra.stanford.edu/kundaje/oak/projects/neuro-variants/variant_position/credible/roussos_2024/variant_figures/roussos_2024.infant.GLU/rs6990323_profile_position.png",4,220,900)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-0.146275054</v>
      </c>
      <c r="G3985" t="n">
        <v>0.0219998876056982</v>
      </c>
      <c r="H3985" t="n">
        <v>0.0258431088245677</v>
      </c>
      <c r="I3985" t="n">
        <v>0.094385688940217</v>
      </c>
      <c r="J3985" t="n">
        <v>0.0624683083842235</v>
      </c>
      <c r="K3985" t="n">
        <v>0.3000227673593772</v>
      </c>
      <c r="L3985" t="b">
        <v>0</v>
      </c>
      <c r="M3985" t="b">
        <v>0</v>
      </c>
      <c r="N3985" t="inlineStr">
        <is>
          <t>ref</t>
        </is>
      </c>
      <c r="O3985" t="n">
        <v>100</v>
      </c>
      <c r="P3985" t="n">
        <v>0.00444</v>
      </c>
      <c r="Q3985" t="n">
        <v>75</v>
      </c>
      <c r="R3985" t="n">
        <v>0.0608</v>
      </c>
      <c r="S3985">
        <f>IMAGE("https://mitra.stanford.edu/kundaje/oak/projects/neuro-variants/variant_position/credible/roussos_2024/variant_figures/roussos_2024.infant.GLU/rs16880919_count_position.png",4,220,900)</f>
        <v/>
      </c>
      <c r="T3985">
        <f>IMAGE("https://mitra.stanford.edu/kundaje/oak/projects/neuro-variants/variant_position/credible/roussos_2024/variant_figures/roussos_2024.infant.GLU/rs16880919_profile_position.png",4,220,900)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-0.02250306796</v>
      </c>
      <c r="G3986" t="n">
        <v>0.4261860403002738</v>
      </c>
      <c r="H3986" t="n">
        <v>0.0075989420733162</v>
      </c>
      <c r="I3986" t="n">
        <v>0.9093803203595492</v>
      </c>
      <c r="J3986" t="n">
        <v>0.052405255847792</v>
      </c>
      <c r="K3986" t="n">
        <v>0.3495639249539595</v>
      </c>
      <c r="L3986" t="b">
        <v>0</v>
      </c>
      <c r="M3986" t="b">
        <v>0</v>
      </c>
      <c r="N3986" t="inlineStr">
        <is>
          <t>ref</t>
        </is>
      </c>
      <c r="O3986" t="n">
        <v>60</v>
      </c>
      <c r="P3986" t="n">
        <v>0.00537</v>
      </c>
      <c r="Q3986" t="n">
        <v>-100</v>
      </c>
      <c r="R3986" t="n">
        <v>0.06884999999999999</v>
      </c>
      <c r="S3986">
        <f>IMAGE("https://mitra.stanford.edu/kundaje/oak/projects/neuro-variants/variant_position/credible/roussos_2024/variant_figures/roussos_2024.infant.GLU/rs7007361_count_position.png",4,220,900)</f>
        <v/>
      </c>
      <c r="T3986">
        <f>IMAGE("https://mitra.stanford.edu/kundaje/oak/projects/neuro-variants/variant_position/credible/roussos_2024/variant_figures/roussos_2024.infant.GLU/rs7007361_profile_position.png",4,220,900)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-0.0864350348</v>
      </c>
      <c r="G3987" t="n">
        <v>0.0667109585373106</v>
      </c>
      <c r="H3987" t="n">
        <v>0.0118882265541041</v>
      </c>
      <c r="I3987" t="n">
        <v>0.5690277352627697</v>
      </c>
      <c r="J3987" t="n">
        <v>0.0469234330562842</v>
      </c>
      <c r="K3987" t="n">
        <v>0.3553936416342063</v>
      </c>
      <c r="L3987" t="b">
        <v>0</v>
      </c>
      <c r="M3987" t="b">
        <v>0</v>
      </c>
      <c r="N3987" t="inlineStr">
        <is>
          <t>ref</t>
        </is>
      </c>
      <c r="O3987" t="n">
        <v>-70</v>
      </c>
      <c r="P3987" t="n">
        <v>0.003723</v>
      </c>
      <c r="Q3987" t="n">
        <v>-55</v>
      </c>
      <c r="R3987" t="n">
        <v>0.0654</v>
      </c>
      <c r="S3987">
        <f>IMAGE("https://mitra.stanford.edu/kundaje/oak/projects/neuro-variants/variant_position/credible/roussos_2024/variant_figures/roussos_2024.infant.GLU/rs34921000_count_position.png",4,220,900)</f>
        <v/>
      </c>
      <c r="T3987">
        <f>IMAGE("https://mitra.stanford.edu/kundaje/oak/projects/neuro-variants/variant_position/credible/roussos_2024/variant_figures/roussos_2024.infant.GLU/rs34921000_profile_position.png",4,220,900)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0.01240190056</v>
      </c>
      <c r="G3988" t="n">
        <v>0.4001981969543574</v>
      </c>
      <c r="H3988" t="n">
        <v>0.0130880916709315</v>
      </c>
      <c r="I3988" t="n">
        <v>0.477731483727942</v>
      </c>
      <c r="J3988" t="n">
        <v>0.2993231773187239</v>
      </c>
      <c r="K3988" t="n">
        <v>0.06892217960412229</v>
      </c>
      <c r="L3988" t="b">
        <v>0</v>
      </c>
      <c r="M3988" t="b">
        <v>0</v>
      </c>
      <c r="N3988" t="inlineStr">
        <is>
          <t>alt</t>
        </is>
      </c>
      <c r="O3988" t="n">
        <v>100</v>
      </c>
      <c r="P3988" t="n">
        <v>0.1364</v>
      </c>
      <c r="Q3988" t="n">
        <v>55</v>
      </c>
      <c r="R3988" t="n">
        <v>0.2078</v>
      </c>
      <c r="S3988">
        <f>IMAGE("https://mitra.stanford.edu/kundaje/oak/projects/neuro-variants/variant_position/credible/roussos_2024/variant_figures/roussos_2024.infant.GLU/rs800531_count_position.png",4,220,900)</f>
        <v/>
      </c>
      <c r="T3988">
        <f>IMAGE("https://mitra.stanford.edu/kundaje/oak/projects/neuro-variants/variant_position/credible/roussos_2024/variant_figures/roussos_2024.infant.GLU/rs800531_profile_position.png",4,220,900)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0.00114173501</v>
      </c>
      <c r="G3989" t="n">
        <v>0.8193803362394649</v>
      </c>
      <c r="H3989" t="n">
        <v>0.0130735691803744</v>
      </c>
      <c r="I3989" t="n">
        <v>0.4761340476277956</v>
      </c>
      <c r="J3989" t="n">
        <v>0.1625057871646199</v>
      </c>
      <c r="K3989" t="n">
        <v>0.1330195951434586</v>
      </c>
      <c r="L3989" t="b">
        <v>0</v>
      </c>
      <c r="M3989" t="b">
        <v>0</v>
      </c>
      <c r="N3989" t="inlineStr">
        <is>
          <t>alt</t>
        </is>
      </c>
      <c r="O3989" t="n">
        <v>10</v>
      </c>
      <c r="P3989" t="n">
        <v>0.002678</v>
      </c>
      <c r="Q3989" t="n">
        <v>100</v>
      </c>
      <c r="R3989" t="n">
        <v>0.175</v>
      </c>
      <c r="S3989">
        <f>IMAGE("https://mitra.stanford.edu/kundaje/oak/projects/neuro-variants/variant_position/credible/roussos_2024/variant_figures/roussos_2024.infant.GLU/rs800524_count_position.png",4,220,900)</f>
        <v/>
      </c>
      <c r="T3989">
        <f>IMAGE("https://mitra.stanford.edu/kundaje/oak/projects/neuro-variants/variant_position/credible/roussos_2024/variant_figures/roussos_2024.infant.GLU/rs800524_profile_position.png",4,220,900)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0.03737563192</v>
      </c>
      <c r="G3990" t="n">
        <v>0.2621796341614997</v>
      </c>
      <c r="H3990" t="n">
        <v>0.0124511138185573</v>
      </c>
      <c r="I3990" t="n">
        <v>0.5080327893934536</v>
      </c>
      <c r="J3990" t="n">
        <v>0.0028527965784077</v>
      </c>
      <c r="K3990" t="n">
        <v>0.8437297665078133</v>
      </c>
      <c r="L3990" t="b">
        <v>0</v>
      </c>
      <c r="M3990" t="b">
        <v>0</v>
      </c>
      <c r="N3990" t="inlineStr">
        <is>
          <t>alt</t>
        </is>
      </c>
      <c r="O3990" t="n">
        <v>65</v>
      </c>
      <c r="P3990" t="n">
        <v>0.05212</v>
      </c>
      <c r="Q3990" t="n">
        <v>-70</v>
      </c>
      <c r="R3990" t="n">
        <v>0.0556</v>
      </c>
      <c r="S3990">
        <f>IMAGE("https://mitra.stanford.edu/kundaje/oak/projects/neuro-variants/variant_position/credible/roussos_2024/variant_figures/roussos_2024.infant.GLU/rs800582_count_position.png",4,220,900)</f>
        <v/>
      </c>
      <c r="T3990">
        <f>IMAGE("https://mitra.stanford.edu/kundaje/oak/projects/neuro-variants/variant_position/credible/roussos_2024/variant_figures/roussos_2024.infant.GLU/rs800582_profile_position.png",4,220,900)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0.01899449272</v>
      </c>
      <c r="G3991" t="n">
        <v>0.4718322369510008</v>
      </c>
      <c r="H3991" t="n">
        <v>0.0242377491101031</v>
      </c>
      <c r="I3991" t="n">
        <v>0.1116997091061217</v>
      </c>
      <c r="J3991" t="n">
        <v>0.2585407526620956</v>
      </c>
      <c r="K3991" t="n">
        <v>0.0807085232781629</v>
      </c>
      <c r="L3991" t="b">
        <v>0</v>
      </c>
      <c r="M3991" t="b">
        <v>0</v>
      </c>
      <c r="N3991" t="inlineStr">
        <is>
          <t>alt</t>
        </is>
      </c>
      <c r="O3991" t="n">
        <v>100</v>
      </c>
      <c r="P3991" t="n">
        <v>0.02249</v>
      </c>
      <c r="Q3991" t="n">
        <v>-10</v>
      </c>
      <c r="R3991" t="n">
        <v>0.03552</v>
      </c>
      <c r="S3991">
        <f>IMAGE("https://mitra.stanford.edu/kundaje/oak/projects/neuro-variants/variant_position/credible/roussos_2024/variant_figures/roussos_2024.infant.GLU/rs4876349_count_position.png",4,220,900)</f>
        <v/>
      </c>
      <c r="T3991">
        <f>IMAGE("https://mitra.stanford.edu/kundaje/oak/projects/neuro-variants/variant_position/credible/roussos_2024/variant_figures/roussos_2024.infant.GLU/rs4876349_profile_position.png",4,220,900)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0.0460557942</v>
      </c>
      <c r="G3992" t="n">
        <v>0.2025541411507101</v>
      </c>
      <c r="H3992" t="n">
        <v>0.016920136934032</v>
      </c>
      <c r="I3992" t="n">
        <v>0.279006346940662</v>
      </c>
      <c r="J3992" t="n">
        <v>0.2029718468220198</v>
      </c>
      <c r="K3992" t="n">
        <v>0.106647541689995</v>
      </c>
      <c r="L3992" t="b">
        <v>0</v>
      </c>
      <c r="M3992" t="b">
        <v>0</v>
      </c>
      <c r="N3992" t="inlineStr">
        <is>
          <t>alt</t>
        </is>
      </c>
      <c r="O3992" t="n">
        <v>-90</v>
      </c>
      <c r="P3992" t="n">
        <v>0.10535</v>
      </c>
      <c r="Q3992" t="n">
        <v>-25</v>
      </c>
      <c r="R3992" t="n">
        <v>0.0475</v>
      </c>
      <c r="S3992">
        <f>IMAGE("https://mitra.stanford.edu/kundaje/oak/projects/neuro-variants/variant_position/credible/roussos_2024/variant_figures/roussos_2024.infant.GLU/rs76032162_count_position.png",4,220,900)</f>
        <v/>
      </c>
      <c r="T3992">
        <f>IMAGE("https://mitra.stanford.edu/kundaje/oak/projects/neuro-variants/variant_position/credible/roussos_2024/variant_figures/roussos_2024.infant.GLU/rs76032162_profile_position.png",4,220,900)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0.0006155771599999</v>
      </c>
      <c r="G3993" t="n">
        <v>0.7864991928998266</v>
      </c>
      <c r="H3993" t="n">
        <v>0.0105439932093351</v>
      </c>
      <c r="I3993" t="n">
        <v>0.6895028074345813</v>
      </c>
      <c r="J3993" t="n">
        <v>0.0041788840141978</v>
      </c>
      <c r="K3993" t="n">
        <v>0.7725064551356864</v>
      </c>
      <c r="L3993" t="b">
        <v>0</v>
      </c>
      <c r="M3993" t="b">
        <v>0</v>
      </c>
      <c r="N3993" t="inlineStr">
        <is>
          <t>alt</t>
        </is>
      </c>
      <c r="O3993" t="n">
        <v>-90</v>
      </c>
      <c r="P3993" t="n">
        <v>0.009050000000000001</v>
      </c>
      <c r="Q3993" t="n">
        <v>-100</v>
      </c>
      <c r="R3993" t="n">
        <v>0.1368</v>
      </c>
      <c r="S3993">
        <f>IMAGE("https://mitra.stanford.edu/kundaje/oak/projects/neuro-variants/variant_position/credible/roussos_2024/variant_figures/roussos_2024.infant.GLU/rs10099070_count_position.png",4,220,900)</f>
        <v/>
      </c>
      <c r="T3993">
        <f>IMAGE("https://mitra.stanford.edu/kundaje/oak/projects/neuro-variants/variant_position/credible/roussos_2024/variant_figures/roussos_2024.infant.GLU/rs10099070_profile_position.png",4,220,900)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-0.06690862559999999</v>
      </c>
      <c r="G3994" t="n">
        <v>0.1045603279481843</v>
      </c>
      <c r="H3994" t="n">
        <v>0.0573303633181207</v>
      </c>
      <c r="I3994" t="n">
        <v>0.0038635002136858</v>
      </c>
      <c r="J3994" t="n">
        <v>0.0497607971957053</v>
      </c>
      <c r="K3994" t="n">
        <v>0.3578374157343072</v>
      </c>
      <c r="L3994" t="b">
        <v>1</v>
      </c>
      <c r="M3994" t="b">
        <v>0</v>
      </c>
      <c r="N3994" t="inlineStr">
        <is>
          <t>ref</t>
        </is>
      </c>
      <c r="O3994" t="n">
        <v>100</v>
      </c>
      <c r="P3994" t="n">
        <v>0.00653</v>
      </c>
      <c r="Q3994" t="n">
        <v>-90</v>
      </c>
      <c r="R3994" t="n">
        <v>0.06665</v>
      </c>
      <c r="S3994">
        <f>IMAGE("https://mitra.stanford.edu/kundaje/oak/projects/neuro-variants/variant_position/credible/roussos_2024/variant_figures/roussos_2024.infant.GLU/rs10111734_count_position.png",4,220,900)</f>
        <v/>
      </c>
      <c r="T3994">
        <f>IMAGE("https://mitra.stanford.edu/kundaje/oak/projects/neuro-variants/variant_position/credible/roussos_2024/variant_figures/roussos_2024.infant.GLU/rs10111734_profile_position.png",4,220,900)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0.3284675219999999</v>
      </c>
      <c r="G3995" t="n">
        <v>0.0021757384148038</v>
      </c>
      <c r="H3995" t="n">
        <v>0.0564433538730896</v>
      </c>
      <c r="I3995" t="n">
        <v>0.0043095166671131</v>
      </c>
      <c r="J3995" t="n">
        <v>0.5065279216913953</v>
      </c>
      <c r="K3995" t="n">
        <v>0.0303886080782533</v>
      </c>
      <c r="L3995" t="b">
        <v>1</v>
      </c>
      <c r="M3995" t="b">
        <v>1</v>
      </c>
      <c r="N3995" t="inlineStr">
        <is>
          <t>alt</t>
        </is>
      </c>
      <c r="O3995" t="n">
        <v>20</v>
      </c>
      <c r="P3995" t="n">
        <v>0.002502</v>
      </c>
      <c r="Q3995" t="n">
        <v>-5</v>
      </c>
      <c r="R3995" t="n">
        <v>0.01514</v>
      </c>
      <c r="S3995">
        <f>IMAGE("https://mitra.stanford.edu/kundaje/oak/projects/neuro-variants/variant_position/credible/roussos_2024/variant_figures/roussos_2024.infant.GLU/rs6577846_count_position.png",4,220,900)</f>
        <v/>
      </c>
      <c r="T3995">
        <f>IMAGE("https://mitra.stanford.edu/kundaje/oak/projects/neuro-variants/variant_position/credible/roussos_2024/variant_figures/roussos_2024.infant.GLU/rs6577846_profile_position.png",4,220,900)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-0.0297031539</v>
      </c>
      <c r="G3996" t="n">
        <v>0.3014274387198485</v>
      </c>
      <c r="H3996" t="n">
        <v>0.0167790492524298</v>
      </c>
      <c r="I3996" t="n">
        <v>0.2823662949892395</v>
      </c>
      <c r="J3996" t="n">
        <v>0.2659858021561321</v>
      </c>
      <c r="K3996" t="n">
        <v>0.07868780268896219</v>
      </c>
      <c r="L3996" t="b">
        <v>0</v>
      </c>
      <c r="M3996" t="b">
        <v>0</v>
      </c>
      <c r="N3996" t="inlineStr">
        <is>
          <t>ref</t>
        </is>
      </c>
      <c r="O3996" t="n">
        <v>30</v>
      </c>
      <c r="P3996" t="n">
        <v>0.01221</v>
      </c>
      <c r="Q3996" t="n">
        <v>-65</v>
      </c>
      <c r="R3996" t="n">
        <v>0.02173</v>
      </c>
      <c r="S3996">
        <f>IMAGE("https://mitra.stanford.edu/kundaje/oak/projects/neuro-variants/variant_position/credible/roussos_2024/variant_figures/roussos_2024.infant.GLU/rs10095483_count_position.png",4,220,900)</f>
        <v/>
      </c>
      <c r="T3996">
        <f>IMAGE("https://mitra.stanford.edu/kundaje/oak/projects/neuro-variants/variant_position/credible/roussos_2024/variant_figures/roussos_2024.infant.GLU/rs10095483_profile_position.png",4,220,900)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0.072734508</v>
      </c>
      <c r="G3997" t="n">
        <v>0.0932545021081963</v>
      </c>
      <c r="H3997" t="n">
        <v>0.0116005728916062</v>
      </c>
      <c r="I3997" t="n">
        <v>0.5679789125671477</v>
      </c>
      <c r="J3997" t="n">
        <v>0.0231850349434511</v>
      </c>
      <c r="K3997" t="n">
        <v>0.5056203320862301</v>
      </c>
      <c r="L3997" t="b">
        <v>0</v>
      </c>
      <c r="M3997" t="b">
        <v>0</v>
      </c>
      <c r="N3997" t="inlineStr">
        <is>
          <t>alt</t>
        </is>
      </c>
      <c r="O3997" t="n">
        <v>70</v>
      </c>
      <c r="P3997" t="n">
        <v>0.03253</v>
      </c>
      <c r="Q3997" t="n">
        <v>-25</v>
      </c>
      <c r="R3997" t="n">
        <v>0.02673</v>
      </c>
      <c r="S3997">
        <f>IMAGE("https://mitra.stanford.edu/kundaje/oak/projects/neuro-variants/variant_position/credible/roussos_2024/variant_figures/roussos_2024.infant.GLU/rs7844406_count_position.png",4,220,900)</f>
        <v/>
      </c>
      <c r="T3997">
        <f>IMAGE("https://mitra.stanford.edu/kundaje/oak/projects/neuro-variants/variant_position/credible/roussos_2024/variant_figures/roussos_2024.infant.GLU/rs7844406_profile_position.png",4,220,900)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-0.0495742527999999</v>
      </c>
      <c r="G3998" t="n">
        <v>0.1701978574084778</v>
      </c>
      <c r="H3998" t="n">
        <v>0.0491741878492853</v>
      </c>
      <c r="I3998" t="n">
        <v>0.008147386529670101</v>
      </c>
      <c r="J3998" t="n">
        <v>0.0209407173879494</v>
      </c>
      <c r="K3998" t="n">
        <v>0.5275582467888076</v>
      </c>
      <c r="L3998" t="b">
        <v>1</v>
      </c>
      <c r="M3998" t="b">
        <v>0</v>
      </c>
      <c r="N3998" t="inlineStr">
        <is>
          <t>ref</t>
        </is>
      </c>
      <c r="O3998" t="n">
        <v>-80</v>
      </c>
      <c r="P3998" t="n">
        <v>0.00412</v>
      </c>
      <c r="Q3998" t="n">
        <v>-50</v>
      </c>
      <c r="R3998" t="n">
        <v>0.04565</v>
      </c>
      <c r="S3998">
        <f>IMAGE("https://mitra.stanford.edu/kundaje/oak/projects/neuro-variants/variant_position/credible/roussos_2024/variant_figures/roussos_2024.infant.GLU/rs7840432_count_position.png",4,220,900)</f>
        <v/>
      </c>
      <c r="T3998">
        <f>IMAGE("https://mitra.stanford.edu/kundaje/oak/projects/neuro-variants/variant_position/credible/roussos_2024/variant_figures/roussos_2024.infant.GLU/rs7840432_profile_position.png",4,220,900)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-0.0340707028</v>
      </c>
      <c r="G3999" t="n">
        <v>0.2809838830157583</v>
      </c>
      <c r="H3999" t="n">
        <v>0.0112501831364021</v>
      </c>
      <c r="I3999" t="n">
        <v>0.6210083979474387</v>
      </c>
      <c r="J3999" t="n">
        <v>0.037455631737913</v>
      </c>
      <c r="K3999" t="n">
        <v>0.4074974264367149</v>
      </c>
      <c r="L3999" t="b">
        <v>0</v>
      </c>
      <c r="M3999" t="b">
        <v>0</v>
      </c>
      <c r="N3999" t="inlineStr">
        <is>
          <t>ref</t>
        </is>
      </c>
      <c r="O3999" t="n">
        <v>80</v>
      </c>
      <c r="P3999" t="n">
        <v>0.005634</v>
      </c>
      <c r="Q3999" t="n">
        <v>80</v>
      </c>
      <c r="R3999" t="n">
        <v>0.0454</v>
      </c>
      <c r="S3999">
        <f>IMAGE("https://mitra.stanford.edu/kundaje/oak/projects/neuro-variants/variant_position/credible/roussos_2024/variant_figures/roussos_2024.infant.GLU/rs13274282_count_position.png",4,220,900)</f>
        <v/>
      </c>
      <c r="T3999">
        <f>IMAGE("https://mitra.stanford.edu/kundaje/oak/projects/neuro-variants/variant_position/credible/roussos_2024/variant_figures/roussos_2024.infant.GLU/rs13274282_profile_position.png",4,220,900)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-0.03895582</v>
      </c>
      <c r="G4000" t="n">
        <v>0.235382142240961</v>
      </c>
      <c r="H4000" t="n">
        <v>0.0125413843245348</v>
      </c>
      <c r="I4000" t="n">
        <v>0.5153346982999686</v>
      </c>
      <c r="J4000" t="n">
        <v>0.0401166251460569</v>
      </c>
      <c r="K4000" t="n">
        <v>0.3949908458522913</v>
      </c>
      <c r="L4000" t="b">
        <v>0</v>
      </c>
      <c r="M4000" t="b">
        <v>0</v>
      </c>
      <c r="N4000" t="inlineStr">
        <is>
          <t>ref</t>
        </is>
      </c>
      <c r="O4000" t="n">
        <v>30</v>
      </c>
      <c r="P4000" t="n">
        <v>0.002277</v>
      </c>
      <c r="Q4000" t="n">
        <v>-20</v>
      </c>
      <c r="R4000" t="n">
        <v>0.0341</v>
      </c>
      <c r="S4000">
        <f>IMAGE("https://mitra.stanford.edu/kundaje/oak/projects/neuro-variants/variant_position/credible/roussos_2024/variant_figures/roussos_2024.infant.GLU/rs62520201_count_position.png",4,220,900)</f>
        <v/>
      </c>
      <c r="T4000">
        <f>IMAGE("https://mitra.stanford.edu/kundaje/oak/projects/neuro-variants/variant_position/credible/roussos_2024/variant_figures/roussos_2024.infant.GLU/rs62520201_profile_position.png",4,220,900)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0.224328168</v>
      </c>
      <c r="G4001" t="n">
        <v>0.0082439809533739</v>
      </c>
      <c r="H4001" t="n">
        <v>0.0310432327761741</v>
      </c>
      <c r="I4001" t="n">
        <v>0.0546526902199388</v>
      </c>
      <c r="J4001" t="n">
        <v>0.2103176877797129</v>
      </c>
      <c r="K4001" t="n">
        <v>0.1039306703617106</v>
      </c>
      <c r="L4001" t="b">
        <v>1</v>
      </c>
      <c r="M4001" t="b">
        <v>1</v>
      </c>
      <c r="N4001" t="inlineStr">
        <is>
          <t>alt</t>
        </is>
      </c>
      <c r="O4001" t="n">
        <v>50</v>
      </c>
      <c r="P4001" t="n">
        <v>0.002716</v>
      </c>
      <c r="Q4001" t="n">
        <v>35</v>
      </c>
      <c r="R4001" t="n">
        <v>0.01514</v>
      </c>
      <c r="S4001">
        <f>IMAGE("https://mitra.stanford.edu/kundaje/oak/projects/neuro-variants/variant_position/credible/roussos_2024/variant_figures/roussos_2024.infant.GLU/rs2319423_count_position.png",4,220,900)</f>
        <v/>
      </c>
      <c r="T4001">
        <f>IMAGE("https://mitra.stanford.edu/kundaje/oak/projects/neuro-variants/variant_position/credible/roussos_2024/variant_figures/roussos_2024.infant.GLU/rs2319423_profile_position.png",4,220,900)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0.0034570835799999</v>
      </c>
      <c r="G4002" t="n">
        <v>0.7398672063296536</v>
      </c>
      <c r="H4002" t="n">
        <v>0.0108651659698253</v>
      </c>
      <c r="I4002" t="n">
        <v>0.6593118840846426</v>
      </c>
      <c r="J4002" t="n">
        <v>0.0663076787407129</v>
      </c>
      <c r="K4002" t="n">
        <v>0.2981886505837435</v>
      </c>
      <c r="L4002" t="b">
        <v>0</v>
      </c>
      <c r="M4002" t="b">
        <v>0</v>
      </c>
      <c r="N4002" t="inlineStr">
        <is>
          <t>alt</t>
        </is>
      </c>
      <c r="O4002" t="n">
        <v>-90</v>
      </c>
      <c r="P4002" t="n">
        <v>0.04614</v>
      </c>
      <c r="Q4002" t="n">
        <v>-90</v>
      </c>
      <c r="R4002" t="n">
        <v>0.3457</v>
      </c>
      <c r="S4002">
        <f>IMAGE("https://mitra.stanford.edu/kundaje/oak/projects/neuro-variants/variant_position/credible/roussos_2024/variant_figures/roussos_2024.infant.GLU/rs10101804_count_position.png",4,220,900)</f>
        <v/>
      </c>
      <c r="T4002">
        <f>IMAGE("https://mitra.stanford.edu/kundaje/oak/projects/neuro-variants/variant_position/credible/roussos_2024/variant_figures/roussos_2024.infant.GLU/rs10101804_profile_position.png",4,220,900)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-0.0077280145999999</v>
      </c>
      <c r="G4003" t="n">
        <v>0.5421913741352119</v>
      </c>
      <c r="H4003" t="n">
        <v>0.0439088236480322</v>
      </c>
      <c r="I4003" t="n">
        <v>0.0140035256945806</v>
      </c>
      <c r="J4003" t="n">
        <v>0.0131010383826803</v>
      </c>
      <c r="K4003" t="n">
        <v>0.6168859879949875</v>
      </c>
      <c r="L4003" t="b">
        <v>1</v>
      </c>
      <c r="M4003" t="b">
        <v>0</v>
      </c>
      <c r="N4003" t="inlineStr">
        <is>
          <t>ref</t>
        </is>
      </c>
      <c r="O4003" t="n">
        <v>50</v>
      </c>
      <c r="P4003" t="n">
        <v>0.003693</v>
      </c>
      <c r="Q4003" t="n">
        <v>-5</v>
      </c>
      <c r="R4003" t="n">
        <v>0.00525</v>
      </c>
      <c r="S4003">
        <f>IMAGE("https://mitra.stanford.edu/kundaje/oak/projects/neuro-variants/variant_position/credible/roussos_2024/variant_figures/roussos_2024.infant.GLU/rs9693845_count_position.png",4,220,900)</f>
        <v/>
      </c>
      <c r="T4003">
        <f>IMAGE("https://mitra.stanford.edu/kundaje/oak/projects/neuro-variants/variant_position/credible/roussos_2024/variant_figures/roussos_2024.infant.GLU/rs9693845_profile_position.png",4,220,900)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0.01532841608</v>
      </c>
      <c r="G4004" t="n">
        <v>0.4741461780703282</v>
      </c>
      <c r="H4004" t="n">
        <v>0.0153679441253536</v>
      </c>
      <c r="I4004" t="n">
        <v>0.3415117131529231</v>
      </c>
      <c r="J4004" t="n">
        <v>0.0198626512930178</v>
      </c>
      <c r="K4004" t="n">
        <v>0.5620838216835519</v>
      </c>
      <c r="L4004" t="b">
        <v>0</v>
      </c>
      <c r="M4004" t="b">
        <v>0</v>
      </c>
      <c r="N4004" t="inlineStr">
        <is>
          <t>alt</t>
        </is>
      </c>
      <c r="O4004" t="n">
        <v>-100</v>
      </c>
      <c r="P4004" t="n">
        <v>0.013756</v>
      </c>
      <c r="Q4004" t="n">
        <v>-100</v>
      </c>
      <c r="R4004" t="n">
        <v>0.1345</v>
      </c>
      <c r="S4004">
        <f>IMAGE("https://mitra.stanford.edu/kundaje/oak/projects/neuro-variants/variant_position/credible/roussos_2024/variant_figures/roussos_2024.infant.GLU/rs16893602_count_position.png",4,220,900)</f>
        <v/>
      </c>
      <c r="T4004">
        <f>IMAGE("https://mitra.stanford.edu/kundaje/oak/projects/neuro-variants/variant_position/credible/roussos_2024/variant_figures/roussos_2024.infant.GLU/rs16893602_profile_position.png",4,220,900)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0.0967755149999999</v>
      </c>
      <c r="G4005" t="n">
        <v>0.0516830871670057</v>
      </c>
      <c r="H4005" t="n">
        <v>0.0161512715760874</v>
      </c>
      <c r="I4005" t="n">
        <v>0.3092025676490025</v>
      </c>
      <c r="J4005" t="n">
        <v>0.017903833858771</v>
      </c>
      <c r="K4005" t="n">
        <v>0.5682651419800346</v>
      </c>
      <c r="L4005" t="b">
        <v>0</v>
      </c>
      <c r="M4005" t="b">
        <v>0</v>
      </c>
      <c r="N4005" t="inlineStr">
        <is>
          <t>alt</t>
        </is>
      </c>
      <c r="O4005" t="n">
        <v>-95</v>
      </c>
      <c r="P4005" t="n">
        <v>0.005074</v>
      </c>
      <c r="Q4005" t="n">
        <v>-95</v>
      </c>
      <c r="R4005" t="n">
        <v>0.03485</v>
      </c>
      <c r="S4005">
        <f>IMAGE("https://mitra.stanford.edu/kundaje/oak/projects/neuro-variants/variant_position/credible/roussos_2024/variant_figures/roussos_2024.infant.GLU/rs741469_count_position.png",4,220,900)</f>
        <v/>
      </c>
      <c r="T4005">
        <f>IMAGE("https://mitra.stanford.edu/kundaje/oak/projects/neuro-variants/variant_position/credible/roussos_2024/variant_figures/roussos_2024.infant.GLU/rs741469_profile_position.png",4,220,900)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-0.0229694085999999</v>
      </c>
      <c r="G4006" t="n">
        <v>0.4178902099715319</v>
      </c>
      <c r="H4006" t="n">
        <v>0.0189904729281811</v>
      </c>
      <c r="I4006" t="n">
        <v>0.2115221498187948</v>
      </c>
      <c r="J4006" t="n">
        <v>0.3391895764897815</v>
      </c>
      <c r="K4006" t="n">
        <v>0.0580470842268247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0.0974</v>
      </c>
      <c r="Q4006" t="n">
        <v>-100</v>
      </c>
      <c r="R4006" t="n">
        <v>0.05133</v>
      </c>
      <c r="S4006">
        <f>IMAGE("https://mitra.stanford.edu/kundaje/oak/projects/neuro-variants/variant_position/credible/roussos_2024/variant_figures/roussos_2024.infant.GLU/rs199211_count_position.png",4,220,900)</f>
        <v/>
      </c>
      <c r="T4006">
        <f>IMAGE("https://mitra.stanford.edu/kundaje/oak/projects/neuro-variants/variant_position/credible/roussos_2024/variant_figures/roussos_2024.infant.GLU/rs199211_profile_position.png",4,220,900)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-0.0619185694</v>
      </c>
      <c r="G4007" t="n">
        <v>0.1264731085408361</v>
      </c>
      <c r="H4007" t="n">
        <v>0.026105304573834</v>
      </c>
      <c r="I4007" t="n">
        <v>0.09238677649301261</v>
      </c>
      <c r="J4007" t="n">
        <v>0.0227970193346413</v>
      </c>
      <c r="K4007" t="n">
        <v>0.526612718902668</v>
      </c>
      <c r="L4007" t="b">
        <v>0</v>
      </c>
      <c r="M4007" t="b">
        <v>0</v>
      </c>
      <c r="N4007" t="inlineStr">
        <is>
          <t>ref</t>
        </is>
      </c>
      <c r="O4007" t="n">
        <v>90</v>
      </c>
      <c r="P4007" t="n">
        <v>0.0115</v>
      </c>
      <c r="Q4007" t="n">
        <v>-100</v>
      </c>
      <c r="R4007" t="n">
        <v>0.1056</v>
      </c>
      <c r="S4007">
        <f>IMAGE("https://mitra.stanford.edu/kundaje/oak/projects/neuro-variants/variant_position/credible/roussos_2024/variant_figures/roussos_2024.infant.GLU/rs11786405_count_position.png",4,220,900)</f>
        <v/>
      </c>
      <c r="T4007">
        <f>IMAGE("https://mitra.stanford.edu/kundaje/oak/projects/neuro-variants/variant_position/credible/roussos_2024/variant_figures/roussos_2024.infant.GLU/rs11786405_profile_position.png",4,220,900)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0.0298507293999999</v>
      </c>
      <c r="G4008" t="n">
        <v>0.3127986060902415</v>
      </c>
      <c r="H4008" t="n">
        <v>0.010812616099629</v>
      </c>
      <c r="I4008" t="n">
        <v>0.6657666951708107</v>
      </c>
      <c r="J4008" t="n">
        <v>0.3506283207301748</v>
      </c>
      <c r="K4008" t="n">
        <v>0.054720238461403</v>
      </c>
      <c r="L4008" t="b">
        <v>0</v>
      </c>
      <c r="M4008" t="b">
        <v>0</v>
      </c>
      <c r="N4008" t="inlineStr">
        <is>
          <t>alt</t>
        </is>
      </c>
      <c r="O4008" t="n">
        <v>-100</v>
      </c>
      <c r="P4008" t="n">
        <v>0.005985</v>
      </c>
      <c r="Q4008" t="n">
        <v>-100</v>
      </c>
      <c r="R4008" t="n">
        <v>0.2808</v>
      </c>
      <c r="S4008">
        <f>IMAGE("https://mitra.stanford.edu/kundaje/oak/projects/neuro-variants/variant_position/credible/roussos_2024/variant_figures/roussos_2024.infant.GLU/rs4976978_count_position.png",4,220,900)</f>
        <v/>
      </c>
      <c r="T4008">
        <f>IMAGE("https://mitra.stanford.edu/kundaje/oak/projects/neuro-variants/variant_position/credible/roussos_2024/variant_figures/roussos_2024.infant.GLU/rs4976978_profile_position.png",4,220,900)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0.162468269</v>
      </c>
      <c r="G4009" t="n">
        <v>0.0180265255629002</v>
      </c>
      <c r="H4009" t="n">
        <v>0.0241416534667949</v>
      </c>
      <c r="I4009" t="n">
        <v>0.1116481733144536</v>
      </c>
      <c r="J4009" t="n">
        <v>0.0807028373641393</v>
      </c>
      <c r="K4009" t="n">
        <v>0.3057966316930521</v>
      </c>
      <c r="L4009" t="b">
        <v>1</v>
      </c>
      <c r="M4009" t="b">
        <v>0</v>
      </c>
      <c r="N4009" t="inlineStr">
        <is>
          <t>alt</t>
        </is>
      </c>
      <c r="O4009" t="n">
        <v>80</v>
      </c>
      <c r="P4009" t="n">
        <v>0.005547</v>
      </c>
      <c r="Q4009" t="n">
        <v>-90</v>
      </c>
      <c r="R4009" t="n">
        <v>0.04724</v>
      </c>
      <c r="S4009">
        <f>IMAGE("https://mitra.stanford.edu/kundaje/oak/projects/neuro-variants/variant_position/credible/roussos_2024/variant_figures/roussos_2024.infant.GLU/rs4976981_count_position.png",4,220,900)</f>
        <v/>
      </c>
      <c r="T4009">
        <f>IMAGE("https://mitra.stanford.edu/kundaje/oak/projects/neuro-variants/variant_position/credible/roussos_2024/variant_figures/roussos_2024.infant.GLU/rs4976981_profile_position.png",4,220,900)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-0.0717462491999999</v>
      </c>
      <c r="G4010" t="n">
        <v>0.1022324698180379</v>
      </c>
      <c r="H4010" t="n">
        <v>0.0113231112536419</v>
      </c>
      <c r="I4010" t="n">
        <v>0.6066220390446346</v>
      </c>
      <c r="J4010" t="n">
        <v>0.0546683127934919</v>
      </c>
      <c r="K4010" t="n">
        <v>0.3201537457581913</v>
      </c>
      <c r="L4010" t="b">
        <v>0</v>
      </c>
      <c r="M4010" t="b">
        <v>0</v>
      </c>
      <c r="N4010" t="inlineStr">
        <is>
          <t>ref</t>
        </is>
      </c>
      <c r="O4010" t="n">
        <v>-60</v>
      </c>
      <c r="P4010" t="n">
        <v>0.1958</v>
      </c>
      <c r="Q4010" t="n">
        <v>85</v>
      </c>
      <c r="R4010" t="n">
        <v>0.2029</v>
      </c>
      <c r="S4010">
        <f>IMAGE("https://mitra.stanford.edu/kundaje/oak/projects/neuro-variants/variant_position/credible/roussos_2024/variant_figures/roussos_2024.infant.GLU/rs7832212_count_position.png",4,220,900)</f>
        <v/>
      </c>
      <c r="T4010">
        <f>IMAGE("https://mitra.stanford.edu/kundaje/oak/projects/neuro-variants/variant_position/credible/roussos_2024/variant_figures/roussos_2024.infant.GLU/rs7832212_profile_position.png",4,220,900)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0.16943794</v>
      </c>
      <c r="G4011" t="n">
        <v>0.017187531793227</v>
      </c>
      <c r="H4011" t="n">
        <v>0.0217159654360238</v>
      </c>
      <c r="I4011" t="n">
        <v>0.1518914450512526</v>
      </c>
      <c r="J4011" t="n">
        <v>0.092521880993849</v>
      </c>
      <c r="K4011" t="n">
        <v>0.2210141006505158</v>
      </c>
      <c r="L4011" t="b">
        <v>1</v>
      </c>
      <c r="M4011" t="b">
        <v>0</v>
      </c>
      <c r="N4011" t="inlineStr">
        <is>
          <t>alt</t>
        </is>
      </c>
      <c r="O4011" t="n">
        <v>-100</v>
      </c>
      <c r="P4011" t="n">
        <v>0.012566</v>
      </c>
      <c r="Q4011" t="n">
        <v>35</v>
      </c>
      <c r="R4011" t="n">
        <v>0.02734</v>
      </c>
      <c r="S4011">
        <f>IMAGE("https://mitra.stanford.edu/kundaje/oak/projects/neuro-variants/variant_position/credible/roussos_2024/variant_figures/roussos_2024.infant.GLU/rs7822538_count_position.png",4,220,900)</f>
        <v/>
      </c>
      <c r="T4011">
        <f>IMAGE("https://mitra.stanford.edu/kundaje/oak/projects/neuro-variants/variant_position/credible/roussos_2024/variant_figures/roussos_2024.infant.GLU/rs7822538_profile_position.png",4,220,900)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0.0085383819599999</v>
      </c>
      <c r="G4012" t="n">
        <v>0.6812259600124332</v>
      </c>
      <c r="H4012" t="n">
        <v>0.0116246210905659</v>
      </c>
      <c r="I4012" t="n">
        <v>0.5925435791914264</v>
      </c>
      <c r="J4012" t="n">
        <v>0.155953614497674</v>
      </c>
      <c r="K4012" t="n">
        <v>0.1460545073324013</v>
      </c>
      <c r="L4012" t="b">
        <v>0</v>
      </c>
      <c r="M4012" t="b">
        <v>0</v>
      </c>
      <c r="N4012" t="inlineStr">
        <is>
          <t>alt</t>
        </is>
      </c>
      <c r="O4012" t="n">
        <v>-80</v>
      </c>
      <c r="P4012" t="n">
        <v>0.005436</v>
      </c>
      <c r="Q4012" t="n">
        <v>-100</v>
      </c>
      <c r="R4012" t="n">
        <v>0.0614</v>
      </c>
      <c r="S4012">
        <f>IMAGE("https://mitra.stanford.edu/kundaje/oak/projects/neuro-variants/variant_position/credible/roussos_2024/variant_figures/roussos_2024.infant.GLU/rs9694368_count_position.png",4,220,900)</f>
        <v/>
      </c>
      <c r="T4012">
        <f>IMAGE("https://mitra.stanford.edu/kundaje/oak/projects/neuro-variants/variant_position/credible/roussos_2024/variant_figures/roussos_2024.infant.GLU/rs9694368_profile_position.png",4,220,900)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0.00217725504</v>
      </c>
      <c r="G4013" t="n">
        <v>0.8137655171613899</v>
      </c>
      <c r="H4013" t="n">
        <v>0.0160154128589206</v>
      </c>
      <c r="I4013" t="n">
        <v>0.3147014629991244</v>
      </c>
      <c r="J4013" t="n">
        <v>0.0403194514870256</v>
      </c>
      <c r="K4013" t="n">
        <v>0.3853372436875411</v>
      </c>
      <c r="L4013" t="b">
        <v>0</v>
      </c>
      <c r="M4013" t="b">
        <v>0</v>
      </c>
      <c r="N4013" t="inlineStr">
        <is>
          <t>alt</t>
        </is>
      </c>
      <c r="O4013" t="n">
        <v>-60</v>
      </c>
      <c r="P4013" t="n">
        <v>0.004517</v>
      </c>
      <c r="Q4013" t="n">
        <v>70</v>
      </c>
      <c r="R4013" t="n">
        <v>0.0791</v>
      </c>
      <c r="S4013">
        <f>IMAGE("https://mitra.stanford.edu/kundaje/oak/projects/neuro-variants/variant_position/credible/roussos_2024/variant_figures/roussos_2024.infant.GLU/rs7830479_count_position.png",4,220,900)</f>
        <v/>
      </c>
      <c r="T4013">
        <f>IMAGE("https://mitra.stanford.edu/kundaje/oak/projects/neuro-variants/variant_position/credible/roussos_2024/variant_figures/roussos_2024.infant.GLU/rs7830479_profile_position.png",4,220,900)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0.0436981674</v>
      </c>
      <c r="G4014" t="n">
        <v>0.2179656247480473</v>
      </c>
      <c r="H4014" t="n">
        <v>0.0152709524731221</v>
      </c>
      <c r="I4014" t="n">
        <v>0.3567552535002863</v>
      </c>
      <c r="J4014" t="n">
        <v>0.0476443484203795</v>
      </c>
      <c r="K4014" t="n">
        <v>0.3593046722059101</v>
      </c>
      <c r="L4014" t="b">
        <v>0</v>
      </c>
      <c r="M4014" t="b">
        <v>0</v>
      </c>
      <c r="N4014" t="inlineStr">
        <is>
          <t>alt</t>
        </is>
      </c>
      <c r="O4014" t="n">
        <v>80</v>
      </c>
      <c r="P4014" t="n">
        <v>0.001111</v>
      </c>
      <c r="Q4014" t="n">
        <v>-10</v>
      </c>
      <c r="R4014" t="n">
        <v>0.0282</v>
      </c>
      <c r="S4014">
        <f>IMAGE("https://mitra.stanford.edu/kundaje/oak/projects/neuro-variants/variant_position/credible/roussos_2024/variant_figures/roussos_2024.infant.GLU/rs7824786_count_position.png",4,220,900)</f>
        <v/>
      </c>
      <c r="T4014">
        <f>IMAGE("https://mitra.stanford.edu/kundaje/oak/projects/neuro-variants/variant_position/credible/roussos_2024/variant_figures/roussos_2024.infant.GLU/rs7824786_profile_position.png",4,220,900)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-0.050114594</v>
      </c>
      <c r="G4015" t="n">
        <v>0.174387773103075</v>
      </c>
      <c r="H4015" t="n">
        <v>0.0096161078060961</v>
      </c>
      <c r="I4015" t="n">
        <v>0.7728052577416992</v>
      </c>
      <c r="J4015" t="n">
        <v>0.1898487620979298</v>
      </c>
      <c r="K4015" t="n">
        <v>0.1180445839260609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0.02853</v>
      </c>
      <c r="Q4015" t="n">
        <v>70</v>
      </c>
      <c r="R4015" t="n">
        <v>0.09984999999999999</v>
      </c>
      <c r="S4015">
        <f>IMAGE("https://mitra.stanford.edu/kundaje/oak/projects/neuro-variants/variant_position/credible/roussos_2024/variant_figures/roussos_2024.infant.GLU/rs11996840_count_position.png",4,220,900)</f>
        <v/>
      </c>
      <c r="T4015">
        <f>IMAGE("https://mitra.stanford.edu/kundaje/oak/projects/neuro-variants/variant_position/credible/roussos_2024/variant_figures/roussos_2024.infant.GLU/rs11996840_profile_position.png",4,220,900)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0.07210780999999999</v>
      </c>
      <c r="G4016" t="n">
        <v>0.0952948295192985</v>
      </c>
      <c r="H4016" t="n">
        <v>0.008347392694074101</v>
      </c>
      <c r="I4016" t="n">
        <v>0.858120079022184</v>
      </c>
      <c r="J4016" t="n">
        <v>0.0546418571838003</v>
      </c>
      <c r="K4016" t="n">
        <v>0.3324248500140735</v>
      </c>
      <c r="L4016" t="b">
        <v>0</v>
      </c>
      <c r="M4016" t="b">
        <v>0</v>
      </c>
      <c r="N4016" t="inlineStr">
        <is>
          <t>alt</t>
        </is>
      </c>
      <c r="O4016" t="n">
        <v>55</v>
      </c>
      <c r="P4016" t="n">
        <v>0.004936</v>
      </c>
      <c r="Q4016" t="n">
        <v>-25</v>
      </c>
      <c r="R4016" t="n">
        <v>0.03967</v>
      </c>
      <c r="S4016">
        <f>IMAGE("https://mitra.stanford.edu/kundaje/oak/projects/neuro-variants/variant_position/credible/roussos_2024/variant_figures/roussos_2024.infant.GLU/rs117423761_count_position.png",4,220,900)</f>
        <v/>
      </c>
      <c r="T4016">
        <f>IMAGE("https://mitra.stanford.edu/kundaje/oak/projects/neuro-variants/variant_position/credible/roussos_2024/variant_figures/roussos_2024.infant.GLU/rs117423761_profile_position.png",4,220,900)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-0.04669178154</v>
      </c>
      <c r="G4017" t="n">
        <v>0.2098419458663753</v>
      </c>
      <c r="H4017" t="n">
        <v>0.0159433774134693</v>
      </c>
      <c r="I4017" t="n">
        <v>0.3163845458475051</v>
      </c>
      <c r="J4017" t="n">
        <v>0.0706001014131704</v>
      </c>
      <c r="K4017" t="n">
        <v>0.2792145645155787</v>
      </c>
      <c r="L4017" t="b">
        <v>0</v>
      </c>
      <c r="M4017" t="b">
        <v>0</v>
      </c>
      <c r="N4017" t="inlineStr">
        <is>
          <t>ref</t>
        </is>
      </c>
      <c r="O4017" t="n">
        <v>-15</v>
      </c>
      <c r="P4017" t="n">
        <v>0.001633</v>
      </c>
      <c r="Q4017" t="n">
        <v>-75</v>
      </c>
      <c r="R4017" t="n">
        <v>0.04993</v>
      </c>
      <c r="S4017">
        <f>IMAGE("https://mitra.stanford.edu/kundaje/oak/projects/neuro-variants/variant_position/credible/roussos_2024/variant_figures/roussos_2024.infant.GLU/rs11136313_count_position.png",4,220,900)</f>
        <v/>
      </c>
      <c r="T4017">
        <f>IMAGE("https://mitra.stanford.edu/kundaje/oak/projects/neuro-variants/variant_position/credible/roussos_2024/variant_figures/roussos_2024.infant.GLU/rs11136313_profile_position.png",4,220,900)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0.034759773</v>
      </c>
      <c r="G4018" t="n">
        <v>0.2699415330962211</v>
      </c>
      <c r="H4018" t="n">
        <v>0.0157973664432755</v>
      </c>
      <c r="I4018" t="n">
        <v>0.3233370938650011</v>
      </c>
      <c r="J4018" t="n">
        <v>0.3732842434797945</v>
      </c>
      <c r="K4018" t="n">
        <v>0.0506536692595572</v>
      </c>
      <c r="L4018" t="b">
        <v>0</v>
      </c>
      <c r="M4018" t="b">
        <v>0</v>
      </c>
      <c r="N4018" t="inlineStr">
        <is>
          <t>alt</t>
        </is>
      </c>
      <c r="O4018" t="n">
        <v>-100</v>
      </c>
      <c r="P4018" t="n">
        <v>0.009025999999999999</v>
      </c>
      <c r="Q4018" t="n">
        <v>10</v>
      </c>
      <c r="R4018" t="n">
        <v>0.07199999999999999</v>
      </c>
      <c r="S4018">
        <f>IMAGE("https://mitra.stanford.edu/kundaje/oak/projects/neuro-variants/variant_position/credible/roussos_2024/variant_figures/roussos_2024.infant.GLU/rs10756010_count_position.png",4,220,900)</f>
        <v/>
      </c>
      <c r="T4018">
        <f>IMAGE("https://mitra.stanford.edu/kundaje/oak/projects/neuro-variants/variant_position/credible/roussos_2024/variant_figures/roussos_2024.infant.GLU/rs10756010_profile_position.png",4,220,900)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-0.0598951684</v>
      </c>
      <c r="G4019" t="n">
        <v>0.1392921149455435</v>
      </c>
      <c r="H4019" t="n">
        <v>0.0248060363989956</v>
      </c>
      <c r="I4019" t="n">
        <v>0.1026428819398479</v>
      </c>
      <c r="J4019" t="n">
        <v>0.3517438656055027</v>
      </c>
      <c r="K4019" t="n">
        <v>0.0551849795310307</v>
      </c>
      <c r="L4019" t="b">
        <v>0</v>
      </c>
      <c r="M4019" t="b">
        <v>0</v>
      </c>
      <c r="N4019" t="inlineStr">
        <is>
          <t>ref</t>
        </is>
      </c>
      <c r="O4019" t="n">
        <v>-95</v>
      </c>
      <c r="P4019" t="n">
        <v>0.00805</v>
      </c>
      <c r="Q4019" t="n">
        <v>100</v>
      </c>
      <c r="R4019" t="n">
        <v>0.0857</v>
      </c>
      <c r="S4019">
        <f>IMAGE("https://mitra.stanford.edu/kundaje/oak/projects/neuro-variants/variant_position/credible/roussos_2024/variant_figures/roussos_2024.infant.GLU/rs10958968_count_position.png",4,220,900)</f>
        <v/>
      </c>
      <c r="T4019">
        <f>IMAGE("https://mitra.stanford.edu/kundaje/oak/projects/neuro-variants/variant_position/credible/roussos_2024/variant_figures/roussos_2024.infant.GLU/rs10958968_profile_position.png",4,220,900)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-0.1168496528</v>
      </c>
      <c r="G4020" t="n">
        <v>0.0411931945396307</v>
      </c>
      <c r="H4020" t="n">
        <v>0.0373059705822879</v>
      </c>
      <c r="I4020" t="n">
        <v>0.0268087669334438</v>
      </c>
      <c r="J4020" t="n">
        <v>0.0098216450979959</v>
      </c>
      <c r="K4020" t="n">
        <v>0.6611402827604489</v>
      </c>
      <c r="L4020" t="b">
        <v>0</v>
      </c>
      <c r="M4020" t="b">
        <v>0</v>
      </c>
      <c r="N4020" t="inlineStr">
        <is>
          <t>ref</t>
        </is>
      </c>
      <c r="O4020" t="n">
        <v>-100</v>
      </c>
      <c r="P4020" t="n">
        <v>0.011765</v>
      </c>
      <c r="Q4020" t="n">
        <v>0</v>
      </c>
      <c r="R4020" t="n">
        <v>0</v>
      </c>
      <c r="S4020">
        <f>IMAGE("https://mitra.stanford.edu/kundaje/oak/projects/neuro-variants/variant_position/credible/roussos_2024/variant_figures/roussos_2024.infant.GLU/rs12237121_count_position.png",4,220,900)</f>
        <v/>
      </c>
      <c r="T4020">
        <f>IMAGE("https://mitra.stanford.edu/kundaje/oak/projects/neuro-variants/variant_position/credible/roussos_2024/variant_figures/roussos_2024.infant.GLU/rs12237121_profile_position.png",4,220,900)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0.009975069779999899</v>
      </c>
      <c r="G4021" t="n">
        <v>0.4362282521061343</v>
      </c>
      <c r="H4021" t="n">
        <v>0.0524600356007447</v>
      </c>
      <c r="I4021" t="n">
        <v>0.0061767177888051</v>
      </c>
      <c r="J4021" t="n">
        <v>0.0068542075442579</v>
      </c>
      <c r="K4021" t="n">
        <v>0.7242148475351243</v>
      </c>
      <c r="L4021" t="b">
        <v>0</v>
      </c>
      <c r="M4021" t="b">
        <v>0</v>
      </c>
      <c r="N4021" t="inlineStr">
        <is>
          <t>alt</t>
        </is>
      </c>
      <c r="O4021" t="n">
        <v>-90</v>
      </c>
      <c r="P4021" t="n">
        <v>0.01492</v>
      </c>
      <c r="Q4021" t="n">
        <v>-75</v>
      </c>
      <c r="R4021" t="n">
        <v>0.03894</v>
      </c>
      <c r="S4021">
        <f>IMAGE("https://mitra.stanford.edu/kundaje/oak/projects/neuro-variants/variant_position/credible/roussos_2024/variant_figures/roussos_2024.infant.GLU/rs7032426_count_position.png",4,220,900)</f>
        <v/>
      </c>
      <c r="T4021">
        <f>IMAGE("https://mitra.stanford.edu/kundaje/oak/projects/neuro-variants/variant_position/credible/roussos_2024/variant_figures/roussos_2024.infant.GLU/rs7032426_profile_position.png",4,220,900)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0.0115190357</v>
      </c>
      <c r="G4022" t="n">
        <v>0.5953061875993346</v>
      </c>
      <c r="H4022" t="n">
        <v>0.0313748615002398</v>
      </c>
      <c r="I4022" t="n">
        <v>0.049710915954427</v>
      </c>
      <c r="J4022" t="n">
        <v>0.0005963535351308</v>
      </c>
      <c r="K4022" t="n">
        <v>0.933907610557526</v>
      </c>
      <c r="L4022" t="b">
        <v>0</v>
      </c>
      <c r="M4022" t="b">
        <v>0</v>
      </c>
      <c r="N4022" t="inlineStr">
        <is>
          <t>alt</t>
        </is>
      </c>
      <c r="O4022" t="n">
        <v>-5</v>
      </c>
      <c r="P4022" t="n">
        <v>0.002472</v>
      </c>
      <c r="Q4022" t="n">
        <v>-20</v>
      </c>
      <c r="R4022" t="n">
        <v>0.0224</v>
      </c>
      <c r="S4022">
        <f>IMAGE("https://mitra.stanford.edu/kundaje/oak/projects/neuro-variants/variant_position/credible/roussos_2024/variant_figures/roussos_2024.infant.GLU/rs1322146_count_position.png",4,220,900)</f>
        <v/>
      </c>
      <c r="T4022">
        <f>IMAGE("https://mitra.stanford.edu/kundaje/oak/projects/neuro-variants/variant_position/credible/roussos_2024/variant_figures/roussos_2024.infant.GLU/rs1322146_profile_position.png",4,220,900)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-0.195576156</v>
      </c>
      <c r="G4023" t="n">
        <v>0.0110743470153533</v>
      </c>
      <c r="H4023" t="n">
        <v>0.0427208456170416</v>
      </c>
      <c r="I4023" t="n">
        <v>0.015441488169852</v>
      </c>
      <c r="J4023" t="n">
        <v>0.08594545735135251</v>
      </c>
      <c r="K4023" t="n">
        <v>0.2380986809756965</v>
      </c>
      <c r="L4023" t="b">
        <v>1</v>
      </c>
      <c r="M4023" t="b">
        <v>0</v>
      </c>
      <c r="N4023" t="inlineStr">
        <is>
          <t>ref</t>
        </is>
      </c>
      <c r="O4023" t="n">
        <v>-65</v>
      </c>
      <c r="P4023" t="n">
        <v>0.006348</v>
      </c>
      <c r="Q4023" t="n">
        <v>80</v>
      </c>
      <c r="R4023" t="n">
        <v>0.2177</v>
      </c>
      <c r="S4023">
        <f>IMAGE("https://mitra.stanford.edu/kundaje/oak/projects/neuro-variants/variant_position/credible/roussos_2024/variant_figures/roussos_2024.infant.GLU/rs686870_count_position.png",4,220,900)</f>
        <v/>
      </c>
      <c r="T4023">
        <f>IMAGE("https://mitra.stanford.edu/kundaje/oak/projects/neuro-variants/variant_position/credible/roussos_2024/variant_figures/roussos_2024.infant.GLU/rs686870_profile_position.png",4,220,900)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0.0319613076</v>
      </c>
      <c r="G4024" t="n">
        <v>0.2967073078954444</v>
      </c>
      <c r="H4024" t="n">
        <v>0.0089384956632147</v>
      </c>
      <c r="I4024" t="n">
        <v>0.8121153750320332</v>
      </c>
      <c r="J4024" t="n">
        <v>0.0064187923014175</v>
      </c>
      <c r="K4024" t="n">
        <v>0.7378562567929816</v>
      </c>
      <c r="L4024" t="b">
        <v>0</v>
      </c>
      <c r="M4024" t="b">
        <v>0</v>
      </c>
      <c r="N4024" t="inlineStr">
        <is>
          <t>alt</t>
        </is>
      </c>
      <c r="O4024" t="n">
        <v>100</v>
      </c>
      <c r="P4024" t="n">
        <v>0.01718</v>
      </c>
      <c r="Q4024" t="n">
        <v>-100</v>
      </c>
      <c r="R4024" t="n">
        <v>0.05957</v>
      </c>
      <c r="S4024">
        <f>IMAGE("https://mitra.stanford.edu/kundaje/oak/projects/neuro-variants/variant_position/credible/roussos_2024/variant_figures/roussos_2024.infant.GLU/rs1434479_count_position.png",4,220,900)</f>
        <v/>
      </c>
      <c r="T4024">
        <f>IMAGE("https://mitra.stanford.edu/kundaje/oak/projects/neuro-variants/variant_position/credible/roussos_2024/variant_figures/roussos_2024.infant.GLU/rs1434479_profile_position.png",4,220,900)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0.1771589979999999</v>
      </c>
      <c r="G4025" t="n">
        <v>0.0145328603224601</v>
      </c>
      <c r="H4025" t="n">
        <v>0.0232927077168228</v>
      </c>
      <c r="I4025" t="n">
        <v>0.1241878398692051</v>
      </c>
      <c r="J4025" t="n">
        <v>0.3221962565312286</v>
      </c>
      <c r="K4025" t="n">
        <v>0.0633661027993799</v>
      </c>
      <c r="L4025" t="b">
        <v>1</v>
      </c>
      <c r="M4025" t="b">
        <v>0</v>
      </c>
      <c r="N4025" t="inlineStr">
        <is>
          <t>alt</t>
        </is>
      </c>
      <c r="O4025" t="n">
        <v>-80</v>
      </c>
      <c r="P4025" t="n">
        <v>0.01843</v>
      </c>
      <c r="Q4025" t="n">
        <v>-70</v>
      </c>
      <c r="R4025" t="n">
        <v>0.007812</v>
      </c>
      <c r="S4025">
        <f>IMAGE("https://mitra.stanford.edu/kundaje/oak/projects/neuro-variants/variant_position/credible/roussos_2024/variant_figures/roussos_2024.infant.GLU/rs10967473_count_position.png",4,220,900)</f>
        <v/>
      </c>
      <c r="T4025">
        <f>IMAGE("https://mitra.stanford.edu/kundaje/oak/projects/neuro-variants/variant_position/credible/roussos_2024/variant_figures/roussos_2024.infant.GLU/rs10967473_profile_position.png",4,220,900)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0.07405736139999999</v>
      </c>
      <c r="G4026" t="n">
        <v>0.089589655818974</v>
      </c>
      <c r="H4026" t="n">
        <v>0.0127843961461489</v>
      </c>
      <c r="I4026" t="n">
        <v>0.4970302998967558</v>
      </c>
      <c r="J4026" t="n">
        <v>0.06972486165920749</v>
      </c>
      <c r="K4026" t="n">
        <v>0.2731986532804943</v>
      </c>
      <c r="L4026" t="b">
        <v>0</v>
      </c>
      <c r="M4026" t="b">
        <v>0</v>
      </c>
      <c r="N4026" t="inlineStr">
        <is>
          <t>alt</t>
        </is>
      </c>
      <c r="O4026" t="n">
        <v>-65</v>
      </c>
      <c r="P4026" t="n">
        <v>0.00656</v>
      </c>
      <c r="Q4026" t="n">
        <v>55</v>
      </c>
      <c r="R4026" t="n">
        <v>0.05566</v>
      </c>
      <c r="S4026">
        <f>IMAGE("https://mitra.stanford.edu/kundaje/oak/projects/neuro-variants/variant_position/credible/roussos_2024/variant_figures/roussos_2024.infant.GLU/rs7865569_count_position.png",4,220,900)</f>
        <v/>
      </c>
      <c r="T4026">
        <f>IMAGE("https://mitra.stanford.edu/kundaje/oak/projects/neuro-variants/variant_position/credible/roussos_2024/variant_figures/roussos_2024.infant.GLU/rs7865569_profile_position.png",4,220,900)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-0.067615964</v>
      </c>
      <c r="G4027" t="n">
        <v>0.1329283695545351</v>
      </c>
      <c r="H4027" t="n">
        <v>0.0169164121111279</v>
      </c>
      <c r="I4027" t="n">
        <v>0.2770260384781837</v>
      </c>
      <c r="J4027" t="n">
        <v>0.0314193434599527</v>
      </c>
      <c r="K4027" t="n">
        <v>0.4414121146482773</v>
      </c>
      <c r="L4027" t="b">
        <v>0</v>
      </c>
      <c r="M4027" t="b">
        <v>0</v>
      </c>
      <c r="N4027" t="inlineStr">
        <is>
          <t>ref</t>
        </is>
      </c>
      <c r="O4027" t="n">
        <v>-70</v>
      </c>
      <c r="P4027" t="n">
        <v>0.05035</v>
      </c>
      <c r="Q4027" t="n">
        <v>-75</v>
      </c>
      <c r="R4027" t="n">
        <v>0.1001</v>
      </c>
      <c r="S4027">
        <f>IMAGE("https://mitra.stanford.edu/kundaje/oak/projects/neuro-variants/variant_position/credible/roussos_2024/variant_figures/roussos_2024.infant.GLU/rs10972866_count_position.png",4,220,900)</f>
        <v/>
      </c>
      <c r="T4027">
        <f>IMAGE("https://mitra.stanford.edu/kundaje/oak/projects/neuro-variants/variant_position/credible/roussos_2024/variant_figures/roussos_2024.infant.GLU/rs10972866_profile_position.png",4,220,900)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-0.162216796</v>
      </c>
      <c r="G4028" t="n">
        <v>0.0192358232138871</v>
      </c>
      <c r="H4028" t="n">
        <v>0.0329324460656688</v>
      </c>
      <c r="I4028" t="n">
        <v>0.0425946872498645</v>
      </c>
      <c r="J4028" t="n">
        <v>0.3186589210520513</v>
      </c>
      <c r="K4028" t="n">
        <v>0.0624490739664182</v>
      </c>
      <c r="L4028" t="b">
        <v>1</v>
      </c>
      <c r="M4028" t="b">
        <v>0</v>
      </c>
      <c r="N4028" t="inlineStr">
        <is>
          <t>ref</t>
        </is>
      </c>
      <c r="O4028" t="n">
        <v>5</v>
      </c>
      <c r="P4028" t="n">
        <v>0.0017395</v>
      </c>
      <c r="Q4028" t="n">
        <v>5</v>
      </c>
      <c r="R4028" t="n">
        <v>0.01855</v>
      </c>
      <c r="S4028">
        <f>IMAGE("https://mitra.stanford.edu/kundaje/oak/projects/neuro-variants/variant_position/credible/roussos_2024/variant_figures/roussos_2024.infant.GLU/rs4144593_count_position.png",4,220,900)</f>
        <v/>
      </c>
      <c r="T4028">
        <f>IMAGE("https://mitra.stanford.edu/kundaje/oak/projects/neuro-variants/variant_position/credible/roussos_2024/variant_figures/roussos_2024.infant.GLU/rs4144593_profile_position.png",4,220,900)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0.0046003838</v>
      </c>
      <c r="G4029" t="n">
        <v>0.2360241520037054</v>
      </c>
      <c r="H4029" t="n">
        <v>0.0180152857755804</v>
      </c>
      <c r="I4029" t="n">
        <v>0.2379882506330374</v>
      </c>
      <c r="J4029" t="n">
        <v>0.0588361736369849</v>
      </c>
      <c r="K4029" t="n">
        <v>0.3111776418004183</v>
      </c>
      <c r="L4029" t="b">
        <v>0</v>
      </c>
      <c r="M4029" t="b">
        <v>0</v>
      </c>
      <c r="N4029" t="inlineStr">
        <is>
          <t>alt</t>
        </is>
      </c>
      <c r="O4029" t="n">
        <v>10</v>
      </c>
      <c r="P4029" t="n">
        <v>0.00299</v>
      </c>
      <c r="Q4029" t="n">
        <v>50</v>
      </c>
      <c r="R4029" t="n">
        <v>0.05615</v>
      </c>
      <c r="S4029">
        <f>IMAGE("https://mitra.stanford.edu/kundaje/oak/projects/neuro-variants/variant_position/credible/roussos_2024/variant_figures/roussos_2024.infant.GLU/rs10814385_count_position.png",4,220,900)</f>
        <v/>
      </c>
      <c r="T4029">
        <f>IMAGE("https://mitra.stanford.edu/kundaje/oak/projects/neuro-variants/variant_position/credible/roussos_2024/variant_figures/roussos_2024.infant.GLU/rs10814385_profile_position.png",4,220,900)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-0.0276497024</v>
      </c>
      <c r="G4030" t="n">
        <v>0.3487422824732296</v>
      </c>
      <c r="H4030" t="n">
        <v>0.0537552585245871</v>
      </c>
      <c r="I4030" t="n">
        <v>0.0054070985456479</v>
      </c>
      <c r="J4030" t="n">
        <v>0.0470160276902047</v>
      </c>
      <c r="K4030" t="n">
        <v>0.3616417494636312</v>
      </c>
      <c r="L4030" t="b">
        <v>1</v>
      </c>
      <c r="M4030" t="b">
        <v>0</v>
      </c>
      <c r="N4030" t="inlineStr">
        <is>
          <t>ref</t>
        </is>
      </c>
      <c r="O4030" t="n">
        <v>50</v>
      </c>
      <c r="P4030" t="n">
        <v>0.01123</v>
      </c>
      <c r="Q4030" t="n">
        <v>-75</v>
      </c>
      <c r="R4030" t="n">
        <v>0.06616</v>
      </c>
      <c r="S4030">
        <f>IMAGE("https://mitra.stanford.edu/kundaje/oak/projects/neuro-variants/variant_position/credible/roussos_2024/variant_figures/roussos_2024.infant.GLU/rs2483657_count_position.png",4,220,900)</f>
        <v/>
      </c>
      <c r="T4030">
        <f>IMAGE("https://mitra.stanford.edu/kundaje/oak/projects/neuro-variants/variant_position/credible/roussos_2024/variant_figures/roussos_2024.infant.GLU/rs2483657_profile_position.png",4,220,900)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-0.0524564174</v>
      </c>
      <c r="G4031" t="n">
        <v>0.155517342711241</v>
      </c>
      <c r="H4031" t="n">
        <v>0.06296292702416099</v>
      </c>
      <c r="I4031" t="n">
        <v>0.0023891992782418</v>
      </c>
      <c r="J4031" t="n">
        <v>0.0101336008289423</v>
      </c>
      <c r="K4031" t="n">
        <v>0.6596009643765328</v>
      </c>
      <c r="L4031" t="b">
        <v>1</v>
      </c>
      <c r="M4031" t="b">
        <v>0</v>
      </c>
      <c r="N4031" t="inlineStr">
        <is>
          <t>ref</t>
        </is>
      </c>
      <c r="O4031" t="n">
        <v>-75</v>
      </c>
      <c r="P4031" t="n">
        <v>0.03038</v>
      </c>
      <c r="Q4031" t="n">
        <v>-15</v>
      </c>
      <c r="R4031" t="n">
        <v>0.008529999999999999</v>
      </c>
      <c r="S4031">
        <f>IMAGE("https://mitra.stanford.edu/kundaje/oak/projects/neuro-variants/variant_position/credible/roussos_2024/variant_figures/roussos_2024.infant.GLU/rs4446808_count_position.png",4,220,900)</f>
        <v/>
      </c>
      <c r="T4031">
        <f>IMAGE("https://mitra.stanford.edu/kundaje/oak/projects/neuro-variants/variant_position/credible/roussos_2024/variant_figures/roussos_2024.infant.GLU/rs4446808_profile_position.png",4,220,900)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-0.06913887519999989</v>
      </c>
      <c r="G4032" t="n">
        <v>0.1020139196321015</v>
      </c>
      <c r="H4032" t="n">
        <v>0.0116212475164735</v>
      </c>
      <c r="I4032" t="n">
        <v>0.5917105229511587</v>
      </c>
      <c r="J4032" t="n">
        <v>0.1791155007826451</v>
      </c>
      <c r="K4032" t="n">
        <v>0.1249157823091109</v>
      </c>
      <c r="L4032" t="b">
        <v>0</v>
      </c>
      <c r="M4032" t="b">
        <v>0</v>
      </c>
      <c r="N4032" t="inlineStr">
        <is>
          <t>ref</t>
        </is>
      </c>
      <c r="O4032" t="n">
        <v>95</v>
      </c>
      <c r="P4032" t="n">
        <v>0.03867</v>
      </c>
      <c r="Q4032" t="n">
        <v>95</v>
      </c>
      <c r="R4032" t="n">
        <v>0.1251</v>
      </c>
      <c r="S4032">
        <f>IMAGE("https://mitra.stanford.edu/kundaje/oak/projects/neuro-variants/variant_position/credible/roussos_2024/variant_figures/roussos_2024.infant.GLU/rs6476556_count_position.png",4,220,900)</f>
        <v/>
      </c>
      <c r="T4032">
        <f>IMAGE("https://mitra.stanford.edu/kundaje/oak/projects/neuro-variants/variant_position/credible/roussos_2024/variant_figures/roussos_2024.infant.GLU/rs6476556_profile_position.png",4,220,900)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0.0204940086</v>
      </c>
      <c r="G4033" t="n">
        <v>0.2844018583753916</v>
      </c>
      <c r="H4033" t="n">
        <v>0.0116902697879221</v>
      </c>
      <c r="I4033" t="n">
        <v>0.5788462306131973</v>
      </c>
      <c r="J4033" t="n">
        <v>0.4591558455874248</v>
      </c>
      <c r="K4033" t="n">
        <v>0.0357680440334005</v>
      </c>
      <c r="L4033" t="b">
        <v>0</v>
      </c>
      <c r="M4033" t="b">
        <v>0</v>
      </c>
      <c r="N4033" t="inlineStr">
        <is>
          <t>alt</t>
        </is>
      </c>
      <c r="O4033" t="n">
        <v>-50</v>
      </c>
      <c r="P4033" t="n">
        <v>0.01985</v>
      </c>
      <c r="Q4033" t="n">
        <v>-80</v>
      </c>
      <c r="R4033" t="n">
        <v>0.2041</v>
      </c>
      <c r="S4033">
        <f>IMAGE("https://mitra.stanford.edu/kundaje/oak/projects/neuro-variants/variant_position/credible/roussos_2024/variant_figures/roussos_2024.infant.GLU/rs7856743_count_position.png",4,220,900)</f>
        <v/>
      </c>
      <c r="T4033">
        <f>IMAGE("https://mitra.stanford.edu/kundaje/oak/projects/neuro-variants/variant_position/credible/roussos_2024/variant_figures/roussos_2024.infant.GLU/rs7856743_profile_position.png",4,220,900)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-0.06520194559999989</v>
      </c>
      <c r="G4034" t="n">
        <v>0.1109920611655894</v>
      </c>
      <c r="H4034" t="n">
        <v>0.0354264411537636</v>
      </c>
      <c r="I4034" t="n">
        <v>0.032334045516858</v>
      </c>
      <c r="J4034" t="n">
        <v>0.0571352983972309</v>
      </c>
      <c r="K4034" t="n">
        <v>0.3115713871585611</v>
      </c>
      <c r="L4034" t="b">
        <v>0</v>
      </c>
      <c r="M4034" t="b">
        <v>0</v>
      </c>
      <c r="N4034" t="inlineStr">
        <is>
          <t>ref</t>
        </is>
      </c>
      <c r="O4034" t="n">
        <v>-90</v>
      </c>
      <c r="P4034" t="n">
        <v>0.02249</v>
      </c>
      <c r="Q4034" t="n">
        <v>-5</v>
      </c>
      <c r="R4034" t="n">
        <v>0.02148</v>
      </c>
      <c r="S4034">
        <f>IMAGE("https://mitra.stanford.edu/kundaje/oak/projects/neuro-variants/variant_position/credible/roussos_2024/variant_figures/roussos_2024.infant.GLU/rs11138693_count_position.png",4,220,900)</f>
        <v/>
      </c>
      <c r="T4034">
        <f>IMAGE("https://mitra.stanford.edu/kundaje/oak/projects/neuro-variants/variant_position/credible/roussos_2024/variant_figures/roussos_2024.infant.GLU/rs11138693_profile_position.png",4,220,900)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0.01778376492</v>
      </c>
      <c r="G4035" t="n">
        <v>0.4778968532204211</v>
      </c>
      <c r="H4035" t="n">
        <v>0.0312025694823535</v>
      </c>
      <c r="I4035" t="n">
        <v>0.0504335009170643</v>
      </c>
      <c r="J4035" t="n">
        <v>0.0044908397451442</v>
      </c>
      <c r="K4035" t="n">
        <v>0.7741326306797275</v>
      </c>
      <c r="L4035" t="b">
        <v>0</v>
      </c>
      <c r="M4035" t="b">
        <v>0</v>
      </c>
      <c r="N4035" t="inlineStr">
        <is>
          <t>alt</t>
        </is>
      </c>
      <c r="O4035" t="n">
        <v>25</v>
      </c>
      <c r="P4035" t="n">
        <v>0.002735</v>
      </c>
      <c r="Q4035" t="n">
        <v>100</v>
      </c>
      <c r="R4035" t="n">
        <v>0.05695</v>
      </c>
      <c r="S4035">
        <f>IMAGE("https://mitra.stanford.edu/kundaje/oak/projects/neuro-variants/variant_position/credible/roussos_2024/variant_figures/roussos_2024.infant.GLU/rs10867555_count_position.png",4,220,900)</f>
        <v/>
      </c>
      <c r="T4035">
        <f>IMAGE("https://mitra.stanford.edu/kundaje/oak/projects/neuro-variants/variant_position/credible/roussos_2024/variant_figures/roussos_2024.infant.GLU/rs10867555_profile_position.png",4,220,900)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-0.0328383749999999</v>
      </c>
      <c r="G4036" t="n">
        <v>0.292818292683991</v>
      </c>
      <c r="H4036" t="n">
        <v>0.0109063920661978</v>
      </c>
      <c r="I4036" t="n">
        <v>0.6540987254309564</v>
      </c>
      <c r="J4036" t="n">
        <v>0.0025132829206992</v>
      </c>
      <c r="K4036" t="n">
        <v>0.8328104530080105</v>
      </c>
      <c r="L4036" t="b">
        <v>0</v>
      </c>
      <c r="M4036" t="b">
        <v>0</v>
      </c>
      <c r="N4036" t="inlineStr">
        <is>
          <t>ref</t>
        </is>
      </c>
      <c r="O4036" t="n">
        <v>70</v>
      </c>
      <c r="P4036" t="n">
        <v>0.0175</v>
      </c>
      <c r="Q4036" t="n">
        <v>-95</v>
      </c>
      <c r="R4036" t="n">
        <v>0.04102</v>
      </c>
      <c r="S4036">
        <f>IMAGE("https://mitra.stanford.edu/kundaje/oak/projects/neuro-variants/variant_position/credible/roussos_2024/variant_figures/roussos_2024.infant.GLU/rs11138702_count_position.png",4,220,900)</f>
        <v/>
      </c>
      <c r="T4036">
        <f>IMAGE("https://mitra.stanford.edu/kundaje/oak/projects/neuro-variants/variant_position/credible/roussos_2024/variant_figures/roussos_2024.infant.GLU/rs11138702_profile_position.png",4,220,900)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-0.0279250212</v>
      </c>
      <c r="G4037" t="n">
        <v>0.3431023051698098</v>
      </c>
      <c r="H4037" t="n">
        <v>0.0149462498898176</v>
      </c>
      <c r="I4037" t="n">
        <v>0.3609722237590662</v>
      </c>
      <c r="J4037" t="n">
        <v>0.2522630569456998</v>
      </c>
      <c r="K4037" t="n">
        <v>0.0844857641038561</v>
      </c>
      <c r="L4037" t="b">
        <v>0</v>
      </c>
      <c r="M4037" t="b">
        <v>0</v>
      </c>
      <c r="N4037" t="inlineStr">
        <is>
          <t>ref</t>
        </is>
      </c>
      <c r="O4037" t="n">
        <v>-90</v>
      </c>
      <c r="P4037" t="n">
        <v>0.0598</v>
      </c>
      <c r="Q4037" t="n">
        <v>-100</v>
      </c>
      <c r="R4037" t="n">
        <v>0.3772</v>
      </c>
      <c r="S4037">
        <f>IMAGE("https://mitra.stanford.edu/kundaje/oak/projects/neuro-variants/variant_position/credible/roussos_2024/variant_figures/roussos_2024.infant.GLU/rs145585805_count_position.png",4,220,900)</f>
        <v/>
      </c>
      <c r="T4037">
        <f>IMAGE("https://mitra.stanford.edu/kundaje/oak/projects/neuro-variants/variant_position/credible/roussos_2024/variant_figures/roussos_2024.infant.GLU/rs145585805_profile_position.png",4,220,900)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0.05869626</v>
      </c>
      <c r="G4038" t="n">
        <v>0.1311825410678612</v>
      </c>
      <c r="H4038" t="n">
        <v>0.0198174978855271</v>
      </c>
      <c r="I4038" t="n">
        <v>0.1883440706581831</v>
      </c>
      <c r="J4038" t="n">
        <v>0.0116559007032782</v>
      </c>
      <c r="K4038" t="n">
        <v>0.6463101524629891</v>
      </c>
      <c r="L4038" t="b">
        <v>0</v>
      </c>
      <c r="M4038" t="b">
        <v>0</v>
      </c>
      <c r="N4038" t="inlineStr">
        <is>
          <t>alt</t>
        </is>
      </c>
      <c r="O4038" t="n">
        <v>-100</v>
      </c>
      <c r="P4038" t="n">
        <v>0.05</v>
      </c>
      <c r="Q4038" t="n">
        <v>-55</v>
      </c>
      <c r="R4038" t="n">
        <v>0.09973</v>
      </c>
      <c r="S4038">
        <f>IMAGE("https://mitra.stanford.edu/kundaje/oak/projects/neuro-variants/variant_position/credible/roussos_2024/variant_figures/roussos_2024.infant.GLU/rs7853639_count_position.png",4,220,900)</f>
        <v/>
      </c>
      <c r="T4038">
        <f>IMAGE("https://mitra.stanford.edu/kundaje/oak/projects/neuro-variants/variant_position/credible/roussos_2024/variant_figures/roussos_2024.infant.GLU/rs7853639_profile_position.png",4,220,900)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-0.1066936128</v>
      </c>
      <c r="G4039" t="n">
        <v>0.0446149124107913</v>
      </c>
      <c r="H4039" t="n">
        <v>0.0186471855201552</v>
      </c>
      <c r="I4039" t="n">
        <v>0.2206088160099974</v>
      </c>
      <c r="J4039" t="n">
        <v>0.1003229789016512</v>
      </c>
      <c r="K4039" t="n">
        <v>0.218369306036224</v>
      </c>
      <c r="L4039" t="b">
        <v>0</v>
      </c>
      <c r="M4039" t="b">
        <v>0</v>
      </c>
      <c r="N4039" t="inlineStr">
        <is>
          <t>ref</t>
        </is>
      </c>
      <c r="O4039" t="n">
        <v>100</v>
      </c>
      <c r="P4039" t="n">
        <v>0.06</v>
      </c>
      <c r="Q4039" t="n">
        <v>50</v>
      </c>
      <c r="R4039" t="n">
        <v>0.10254</v>
      </c>
      <c r="S4039">
        <f>IMAGE("https://mitra.stanford.edu/kundaje/oak/projects/neuro-variants/variant_position/credible/roussos_2024/variant_figures/roussos_2024.infant.GLU/rs11139500_count_position.png",4,220,900)</f>
        <v/>
      </c>
      <c r="T4039">
        <f>IMAGE("https://mitra.stanford.edu/kundaje/oak/projects/neuro-variants/variant_position/credible/roussos_2024/variant_figures/roussos_2024.infant.GLU/rs11139500_profile_position.png",4,220,900)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-0.0333976926</v>
      </c>
      <c r="G4040" t="n">
        <v>0.284890679879704</v>
      </c>
      <c r="H4040" t="n">
        <v>0.0175002131732913</v>
      </c>
      <c r="I4040" t="n">
        <v>0.2571724183547867</v>
      </c>
      <c r="J4040" t="n">
        <v>0.0923896029453911</v>
      </c>
      <c r="K4040" t="n">
        <v>0.2193748294961773</v>
      </c>
      <c r="L4040" t="b">
        <v>0</v>
      </c>
      <c r="M4040" t="b">
        <v>0</v>
      </c>
      <c r="N4040" t="inlineStr">
        <is>
          <t>ref</t>
        </is>
      </c>
      <c r="O4040" t="n">
        <v>-50</v>
      </c>
      <c r="P4040" t="n">
        <v>0.02057</v>
      </c>
      <c r="Q4040" t="n">
        <v>100</v>
      </c>
      <c r="R4040" t="n">
        <v>0.1492</v>
      </c>
      <c r="S4040">
        <f>IMAGE("https://mitra.stanford.edu/kundaje/oak/projects/neuro-variants/variant_position/credible/roussos_2024/variant_figures/roussos_2024.infant.GLU/rs1409880_count_position.png",4,220,900)</f>
        <v/>
      </c>
      <c r="T4040">
        <f>IMAGE("https://mitra.stanford.edu/kundaje/oak/projects/neuro-variants/variant_position/credible/roussos_2024/variant_figures/roussos_2024.infant.GLU/rs1409880_profile_position.png",4,220,900)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-0.0364558199999999</v>
      </c>
      <c r="G4041" t="n">
        <v>0.2621521586699732</v>
      </c>
      <c r="H4041" t="n">
        <v>0.008122017815743</v>
      </c>
      <c r="I4041" t="n">
        <v>0.904939550282011</v>
      </c>
      <c r="J4041" t="n">
        <v>0.0237571375030313</v>
      </c>
      <c r="K4041" t="n">
        <v>0.4978941817814052</v>
      </c>
      <c r="L4041" t="b">
        <v>0</v>
      </c>
      <c r="M4041" t="b">
        <v>0</v>
      </c>
      <c r="N4041" t="inlineStr">
        <is>
          <t>ref</t>
        </is>
      </c>
      <c r="O4041" t="n">
        <v>50</v>
      </c>
      <c r="P4041" t="n">
        <v>0.03818</v>
      </c>
      <c r="Q4041" t="n">
        <v>45</v>
      </c>
      <c r="R4041" t="n">
        <v>0.0725</v>
      </c>
      <c r="S4041">
        <f>IMAGE("https://mitra.stanford.edu/kundaje/oak/projects/neuro-variants/variant_position/credible/roussos_2024/variant_figures/roussos_2024.infant.GLU/rs2788116_count_position.png",4,220,900)</f>
        <v/>
      </c>
      <c r="T4041">
        <f>IMAGE("https://mitra.stanford.edu/kundaje/oak/projects/neuro-variants/variant_position/credible/roussos_2024/variant_figures/roussos_2024.infant.GLU/rs2788116_profile_position.png",4,220,900)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-0.03194519108</v>
      </c>
      <c r="G4042" t="n">
        <v>0.3054306910116482</v>
      </c>
      <c r="H4042" t="n">
        <v>0.0085908307645404</v>
      </c>
      <c r="I4042" t="n">
        <v>0.8596790832372674</v>
      </c>
      <c r="J4042" t="n">
        <v>0.0091172644899578</v>
      </c>
      <c r="K4042" t="n">
        <v>0.6945631547085733</v>
      </c>
      <c r="L4042" t="b">
        <v>0</v>
      </c>
      <c r="M4042" t="b">
        <v>0</v>
      </c>
      <c r="N4042" t="inlineStr">
        <is>
          <t>ref</t>
        </is>
      </c>
      <c r="O4042" t="n">
        <v>80</v>
      </c>
      <c r="P4042" t="n">
        <v>0.01733</v>
      </c>
      <c r="Q4042" t="n">
        <v>80</v>
      </c>
      <c r="R4042" t="n">
        <v>0.08813</v>
      </c>
      <c r="S4042">
        <f>IMAGE("https://mitra.stanford.edu/kundaje/oak/projects/neuro-variants/variant_position/credible/roussos_2024/variant_figures/roussos_2024.infant.GLU/rs2767717_count_position.png",4,220,900)</f>
        <v/>
      </c>
      <c r="T4042">
        <f>IMAGE("https://mitra.stanford.edu/kundaje/oak/projects/neuro-variants/variant_position/credible/roussos_2024/variant_figures/roussos_2024.infant.GLU/rs2767717_profile_position.png",4,220,900)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-0.0230240028</v>
      </c>
      <c r="G4043" t="n">
        <v>0.4051240190452817</v>
      </c>
      <c r="H4043" t="n">
        <v>0.0118419818412131</v>
      </c>
      <c r="I4043" t="n">
        <v>0.5738566428015071</v>
      </c>
      <c r="J4043" t="n">
        <v>0.0418847417271103</v>
      </c>
      <c r="K4043" t="n">
        <v>0.3758213100208148</v>
      </c>
      <c r="L4043" t="b">
        <v>0</v>
      </c>
      <c r="M4043" t="b">
        <v>0</v>
      </c>
      <c r="N4043" t="inlineStr">
        <is>
          <t>ref</t>
        </is>
      </c>
      <c r="O4043" t="n">
        <v>100</v>
      </c>
      <c r="P4043" t="n">
        <v>0.009735000000000001</v>
      </c>
      <c r="Q4043" t="n">
        <v>55</v>
      </c>
      <c r="R4043" t="n">
        <v>0.141</v>
      </c>
      <c r="S4043">
        <f>IMAGE("https://mitra.stanford.edu/kundaje/oak/projects/neuro-variants/variant_position/credible/roussos_2024/variant_figures/roussos_2024.infant.GLU/rs2767715_count_position.png",4,220,900)</f>
        <v/>
      </c>
      <c r="T4043">
        <f>IMAGE("https://mitra.stanford.edu/kundaje/oak/projects/neuro-variants/variant_position/credible/roussos_2024/variant_figures/roussos_2024.infant.GLU/rs2767715_profile_position.png",4,220,900)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-0.181306442</v>
      </c>
      <c r="G4044" t="n">
        <v>0.0130480759976899</v>
      </c>
      <c r="H4044" t="n">
        <v>0.0397081481454501</v>
      </c>
      <c r="I4044" t="n">
        <v>0.0208739934832819</v>
      </c>
      <c r="J4044" t="n">
        <v>0.1317897219956348</v>
      </c>
      <c r="K4044" t="n">
        <v>0.1611989880482551</v>
      </c>
      <c r="L4044" t="b">
        <v>1</v>
      </c>
      <c r="M4044" t="b">
        <v>0</v>
      </c>
      <c r="N4044" t="inlineStr">
        <is>
          <t>ref</t>
        </is>
      </c>
      <c r="O4044" t="n">
        <v>-65</v>
      </c>
      <c r="P4044" t="n">
        <v>0.05414</v>
      </c>
      <c r="Q4044" t="n">
        <v>-75</v>
      </c>
      <c r="R4044" t="n">
        <v>0.04785</v>
      </c>
      <c r="S4044">
        <f>IMAGE("https://mitra.stanford.edu/kundaje/oak/projects/neuro-variants/variant_position/credible/roussos_2024/variant_figures/roussos_2024.infant.GLU/rs2767713_count_position.png",4,220,900)</f>
        <v/>
      </c>
      <c r="T4044">
        <f>IMAGE("https://mitra.stanford.edu/kundaje/oak/projects/neuro-variants/variant_position/credible/roussos_2024/variant_figures/roussos_2024.infant.GLU/rs2767713_profile_position.png",4,220,900)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-0.01874793688</v>
      </c>
      <c r="G4045" t="n">
        <v>0.4869656669187913</v>
      </c>
      <c r="H4045" t="n">
        <v>0.0086986577392813</v>
      </c>
      <c r="I4045" t="n">
        <v>0.8333606916673341</v>
      </c>
      <c r="J4045" t="n">
        <v>0.0041447121850128</v>
      </c>
      <c r="K4045" t="n">
        <v>0.7813180592761825</v>
      </c>
      <c r="L4045" t="b">
        <v>0</v>
      </c>
      <c r="M4045" t="b">
        <v>0</v>
      </c>
      <c r="N4045" t="inlineStr">
        <is>
          <t>ref</t>
        </is>
      </c>
      <c r="O4045" t="n">
        <v>50</v>
      </c>
      <c r="P4045" t="n">
        <v>0.01234</v>
      </c>
      <c r="Q4045" t="n">
        <v>-95</v>
      </c>
      <c r="R4045" t="n">
        <v>0.02805</v>
      </c>
      <c r="S4045">
        <f>IMAGE("https://mitra.stanford.edu/kundaje/oak/projects/neuro-variants/variant_position/credible/roussos_2024/variant_figures/roussos_2024.infant.GLU/rs1933580_count_position.png",4,220,900)</f>
        <v/>
      </c>
      <c r="T4045">
        <f>IMAGE("https://mitra.stanford.edu/kundaje/oak/projects/neuro-variants/variant_position/credible/roussos_2024/variant_figures/roussos_2024.infant.GLU/rs1933580_profile_position.png",4,220,900)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-0.0154580814719999</v>
      </c>
      <c r="G4046" t="n">
        <v>0.4923190975036171</v>
      </c>
      <c r="H4046" t="n">
        <v>0.0165953175228469</v>
      </c>
      <c r="I4046" t="n">
        <v>0.289050988585771</v>
      </c>
      <c r="J4046" t="n">
        <v>0.008644370466721001</v>
      </c>
      <c r="K4046" t="n">
        <v>0.7330075257945189</v>
      </c>
      <c r="L4046" t="b">
        <v>0</v>
      </c>
      <c r="M4046" t="b">
        <v>0</v>
      </c>
      <c r="N4046" t="inlineStr">
        <is>
          <t>ref</t>
        </is>
      </c>
      <c r="O4046" t="n">
        <v>-75</v>
      </c>
      <c r="P4046" t="n">
        <v>0.009155</v>
      </c>
      <c r="Q4046" t="n">
        <v>-55</v>
      </c>
      <c r="R4046" t="n">
        <v>0.0663</v>
      </c>
      <c r="S4046">
        <f>IMAGE("https://mitra.stanford.edu/kundaje/oak/projects/neuro-variants/variant_position/credible/roussos_2024/variant_figures/roussos_2024.infant.GLU/rs1330834_count_position.png",4,220,900)</f>
        <v/>
      </c>
      <c r="T4046">
        <f>IMAGE("https://mitra.stanford.edu/kundaje/oak/projects/neuro-variants/variant_position/credible/roussos_2024/variant_figures/roussos_2024.infant.GLU/rs1330834_profile_position.png",4,220,900)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-0.08072169179999999</v>
      </c>
      <c r="G4047" t="n">
        <v>0.08534072786946061</v>
      </c>
      <c r="H4047" t="n">
        <v>0.0173573723468818</v>
      </c>
      <c r="I4047" t="n">
        <v>0.2619849922521584</v>
      </c>
      <c r="J4047" t="n">
        <v>0.1118796710685861</v>
      </c>
      <c r="K4047" t="n">
        <v>0.1893734749557288</v>
      </c>
      <c r="L4047" t="b">
        <v>0</v>
      </c>
      <c r="M4047" t="b">
        <v>0</v>
      </c>
      <c r="N4047" t="inlineStr">
        <is>
          <t>ref</t>
        </is>
      </c>
      <c r="O4047" t="n">
        <v>-65</v>
      </c>
      <c r="P4047" t="n">
        <v>0.004234</v>
      </c>
      <c r="Q4047" t="n">
        <v>5</v>
      </c>
      <c r="R4047" t="n">
        <v>0.000977</v>
      </c>
      <c r="S4047">
        <f>IMAGE("https://mitra.stanford.edu/kundaje/oak/projects/neuro-variants/variant_position/credible/roussos_2024/variant_figures/roussos_2024.infant.GLU/rs4877231_count_position.png",4,220,900)</f>
        <v/>
      </c>
      <c r="T4047">
        <f>IMAGE("https://mitra.stanford.edu/kundaje/oak/projects/neuro-variants/variant_position/credible/roussos_2024/variant_figures/roussos_2024.infant.GLU/rs4877231_profile_position.png",4,220,900)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-0.0291736136</v>
      </c>
      <c r="G4048" t="n">
        <v>0.3354796806673054</v>
      </c>
      <c r="H4048" t="n">
        <v>0.0095973410014225</v>
      </c>
      <c r="I4048" t="n">
        <v>0.7769112486322436</v>
      </c>
      <c r="J4048" t="n">
        <v>0.0181794131263916</v>
      </c>
      <c r="K4048" t="n">
        <v>0.5504312932593374</v>
      </c>
      <c r="L4048" t="b">
        <v>0</v>
      </c>
      <c r="M4048" t="b">
        <v>0</v>
      </c>
      <c r="N4048" t="inlineStr">
        <is>
          <t>ref</t>
        </is>
      </c>
      <c r="O4048" t="n">
        <v>-50</v>
      </c>
      <c r="P4048" t="n">
        <v>0.0002441</v>
      </c>
      <c r="Q4048" t="n">
        <v>70</v>
      </c>
      <c r="R4048" t="n">
        <v>0.1375</v>
      </c>
      <c r="S4048">
        <f>IMAGE("https://mitra.stanford.edu/kundaje/oak/projects/neuro-variants/variant_position/credible/roussos_2024/variant_figures/roussos_2024.infant.GLU/rs7848263_count_position.png",4,220,900)</f>
        <v/>
      </c>
      <c r="T4048">
        <f>IMAGE("https://mitra.stanford.edu/kundaje/oak/projects/neuro-variants/variant_position/credible/roussos_2024/variant_figures/roussos_2024.infant.GLU/rs7848263_profile_position.png",4,220,900)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-0.185498624</v>
      </c>
      <c r="G4049" t="n">
        <v>0.0123118150111415</v>
      </c>
      <c r="H4049" t="n">
        <v>0.0441655922800836</v>
      </c>
      <c r="I4049" t="n">
        <v>0.0131812440654397</v>
      </c>
      <c r="J4049" t="n">
        <v>0.0787826010273594</v>
      </c>
      <c r="K4049" t="n">
        <v>0.2497762666890969</v>
      </c>
      <c r="L4049" t="b">
        <v>1</v>
      </c>
      <c r="M4049" t="b">
        <v>0</v>
      </c>
      <c r="N4049" t="inlineStr">
        <is>
          <t>ref</t>
        </is>
      </c>
      <c r="O4049" t="n">
        <v>75</v>
      </c>
      <c r="P4049" t="n">
        <v>0.0374</v>
      </c>
      <c r="Q4049" t="n">
        <v>75</v>
      </c>
      <c r="R4049" t="n">
        <v>0.0984</v>
      </c>
      <c r="S4049">
        <f>IMAGE("https://mitra.stanford.edu/kundaje/oak/projects/neuro-variants/variant_position/credible/roussos_2024/variant_figures/roussos_2024.infant.GLU/rs7020546_count_position.png",4,220,900)</f>
        <v/>
      </c>
      <c r="T4049">
        <f>IMAGE("https://mitra.stanford.edu/kundaje/oak/projects/neuro-variants/variant_position/credible/roussos_2024/variant_figures/roussos_2024.infant.GLU/rs7020546_profile_position.png",4,220,900)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0.0019050681999999</v>
      </c>
      <c r="G4050" t="n">
        <v>0.4020356548400324</v>
      </c>
      <c r="H4050" t="n">
        <v>0.0246089391289945</v>
      </c>
      <c r="I4050" t="n">
        <v>0.105287539648283</v>
      </c>
      <c r="J4050" t="n">
        <v>0.114110760819242</v>
      </c>
      <c r="K4050" t="n">
        <v>0.1946876432190214</v>
      </c>
      <c r="L4050" t="b">
        <v>0</v>
      </c>
      <c r="M4050" t="b">
        <v>0</v>
      </c>
      <c r="N4050" t="inlineStr">
        <is>
          <t>alt</t>
        </is>
      </c>
      <c r="O4050" t="n">
        <v>75</v>
      </c>
      <c r="P4050" t="n">
        <v>0.03625</v>
      </c>
      <c r="Q4050" t="n">
        <v>50</v>
      </c>
      <c r="R4050" t="n">
        <v>0.0825</v>
      </c>
      <c r="S4050">
        <f>IMAGE("https://mitra.stanford.edu/kundaje/oak/projects/neuro-variants/variant_position/credible/roussos_2024/variant_figures/roussos_2024.infant.GLU/rs80020015_count_position.png",4,220,900)</f>
        <v/>
      </c>
      <c r="T4050">
        <f>IMAGE("https://mitra.stanford.edu/kundaje/oak/projects/neuro-variants/variant_position/credible/roussos_2024/variant_figures/roussos_2024.infant.GLU/rs80020015_profile_position.png",4,220,900)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-0.155148608</v>
      </c>
      <c r="G4051" t="n">
        <v>0.0197841734745862</v>
      </c>
      <c r="H4051" t="n">
        <v>0.0237396154760725</v>
      </c>
      <c r="I4051" t="n">
        <v>0.1174121258522684</v>
      </c>
      <c r="J4051" t="n">
        <v>0.0135618069181419</v>
      </c>
      <c r="K4051" t="n">
        <v>0.6169218873247357</v>
      </c>
      <c r="L4051" t="b">
        <v>1</v>
      </c>
      <c r="M4051" t="b">
        <v>0</v>
      </c>
      <c r="N4051" t="inlineStr">
        <is>
          <t>ref</t>
        </is>
      </c>
      <c r="O4051" t="n">
        <v>40</v>
      </c>
      <c r="P4051" t="n">
        <v>0.01758</v>
      </c>
      <c r="Q4051" t="n">
        <v>-50</v>
      </c>
      <c r="R4051" t="n">
        <v>0.01013</v>
      </c>
      <c r="S4051">
        <f>IMAGE("https://mitra.stanford.edu/kundaje/oak/projects/neuro-variants/variant_position/credible/roussos_2024/variant_figures/roussos_2024.infant.GLU/rs10113923_count_position.png",4,220,900)</f>
        <v/>
      </c>
      <c r="T4051">
        <f>IMAGE("https://mitra.stanford.edu/kundaje/oak/projects/neuro-variants/variant_position/credible/roussos_2024/variant_figures/roussos_2024.infant.GLU/rs10113923_profile_position.png",4,220,900)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-0.0250589045999999</v>
      </c>
      <c r="G4052" t="n">
        <v>0.3887057547599996</v>
      </c>
      <c r="H4052" t="n">
        <v>0.008103601703002099</v>
      </c>
      <c r="I4052" t="n">
        <v>0.8918080007288464</v>
      </c>
      <c r="J4052" t="n">
        <v>0.0485239974426243</v>
      </c>
      <c r="K4052" t="n">
        <v>0.346264987722959</v>
      </c>
      <c r="L4052" t="b">
        <v>0</v>
      </c>
      <c r="M4052" t="b">
        <v>0</v>
      </c>
      <c r="N4052" t="inlineStr">
        <is>
          <t>ref</t>
        </is>
      </c>
      <c r="O4052" t="n">
        <v>-60</v>
      </c>
      <c r="P4052" t="n">
        <v>0.01068</v>
      </c>
      <c r="Q4052" t="n">
        <v>40</v>
      </c>
      <c r="R4052" t="n">
        <v>0.02515</v>
      </c>
      <c r="S4052">
        <f>IMAGE("https://mitra.stanford.edu/kundaje/oak/projects/neuro-variants/variant_position/credible/roussos_2024/variant_figures/roussos_2024.infant.GLU/rs10116211_count_position.png",4,220,900)</f>
        <v/>
      </c>
      <c r="T4052">
        <f>IMAGE("https://mitra.stanford.edu/kundaje/oak/projects/neuro-variants/variant_position/credible/roussos_2024/variant_figures/roussos_2024.infant.GLU/rs10116211_profile_position.png",4,220,900)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-0.228196356</v>
      </c>
      <c r="G4053" t="n">
        <v>0.0078396466481295</v>
      </c>
      <c r="H4053" t="n">
        <v>0.0520648460840038</v>
      </c>
      <c r="I4053" t="n">
        <v>0.0064642477177723</v>
      </c>
      <c r="J4053" t="n">
        <v>0.4372186335677594</v>
      </c>
      <c r="K4053" t="n">
        <v>0.0392260816298237</v>
      </c>
      <c r="L4053" t="b">
        <v>1</v>
      </c>
      <c r="M4053" t="b">
        <v>1</v>
      </c>
      <c r="N4053" t="inlineStr">
        <is>
          <t>ref</t>
        </is>
      </c>
      <c r="O4053" t="n">
        <v>100</v>
      </c>
      <c r="P4053" t="n">
        <v>0.02512</v>
      </c>
      <c r="Q4053" t="n">
        <v>-25</v>
      </c>
      <c r="R4053" t="n">
        <v>0.0598</v>
      </c>
      <c r="S4053">
        <f>IMAGE("https://mitra.stanford.edu/kundaje/oak/projects/neuro-variants/variant_position/credible/roussos_2024/variant_figures/roussos_2024.infant.GLU/rs6479482_count_position.png",4,220,900)</f>
        <v/>
      </c>
      <c r="T4053">
        <f>IMAGE("https://mitra.stanford.edu/kundaje/oak/projects/neuro-variants/variant_position/credible/roussos_2024/variant_figures/roussos_2024.infant.GLU/rs6479482_profile_position.png",4,220,900)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0.0084224497199999</v>
      </c>
      <c r="G4054" t="n">
        <v>0.6728465388634975</v>
      </c>
      <c r="H4054" t="n">
        <v>0.026804626285409</v>
      </c>
      <c r="I4054" t="n">
        <v>0.08169685854351121</v>
      </c>
      <c r="J4054" t="n">
        <v>0.2298000396834145</v>
      </c>
      <c r="K4054" t="n">
        <v>0.0949373451787798</v>
      </c>
      <c r="L4054" t="b">
        <v>0</v>
      </c>
      <c r="M4054" t="b">
        <v>0</v>
      </c>
      <c r="N4054" t="inlineStr">
        <is>
          <t>alt</t>
        </is>
      </c>
      <c r="O4054" t="n">
        <v>-80</v>
      </c>
      <c r="P4054" t="n">
        <v>0.1401</v>
      </c>
      <c r="Q4054" t="n">
        <v>-65</v>
      </c>
      <c r="R4054" t="n">
        <v>0.1658</v>
      </c>
      <c r="S4054">
        <f>IMAGE("https://mitra.stanford.edu/kundaje/oak/projects/neuro-variants/variant_position/credible/roussos_2024/variant_figures/roussos_2024.infant.GLU/rs12344021_count_position.png",4,220,900)</f>
        <v/>
      </c>
      <c r="T4054">
        <f>IMAGE("https://mitra.stanford.edu/kundaje/oak/projects/neuro-variants/variant_position/credible/roussos_2024/variant_figures/roussos_2024.infant.GLU/rs12344021_profile_position.png",4,220,900)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-0.004714520794</v>
      </c>
      <c r="G4055" t="n">
        <v>0.6479225124746005</v>
      </c>
      <c r="H4055" t="n">
        <v>0.0285230627189211</v>
      </c>
      <c r="I4055" t="n">
        <v>0.0679540688041525</v>
      </c>
      <c r="J4055" t="n">
        <v>0.0151943384995259</v>
      </c>
      <c r="K4055" t="n">
        <v>0.5898656823027235</v>
      </c>
      <c r="L4055" t="b">
        <v>0</v>
      </c>
      <c r="M4055" t="b">
        <v>0</v>
      </c>
      <c r="N4055" t="inlineStr">
        <is>
          <t>ref</t>
        </is>
      </c>
      <c r="O4055" t="n">
        <v>20</v>
      </c>
      <c r="P4055" t="n">
        <v>0.001587</v>
      </c>
      <c r="Q4055" t="n">
        <v>-75</v>
      </c>
      <c r="R4055" t="n">
        <v>0.04163</v>
      </c>
      <c r="S4055">
        <f>IMAGE("https://mitra.stanford.edu/kundaje/oak/projects/neuro-variants/variant_position/credible/roussos_2024/variant_figures/roussos_2024.infant.GLU/rs12336645_count_position.png",4,220,900)</f>
        <v/>
      </c>
      <c r="T4055">
        <f>IMAGE("https://mitra.stanford.edu/kundaje/oak/projects/neuro-variants/variant_position/credible/roussos_2024/variant_figures/roussos_2024.infant.GLU/rs12336645_profile_position.png",4,220,900)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-0.00802623408</v>
      </c>
      <c r="G4056" t="n">
        <v>0.6711440344201982</v>
      </c>
      <c r="H4056" t="n">
        <v>0.0351081436929788</v>
      </c>
      <c r="I4056" t="n">
        <v>0.0340397204158084</v>
      </c>
      <c r="J4056" t="n">
        <v>0.0472574351286403</v>
      </c>
      <c r="K4056" t="n">
        <v>0.3597397521683949</v>
      </c>
      <c r="L4056" t="b">
        <v>0</v>
      </c>
      <c r="M4056" t="b">
        <v>0</v>
      </c>
      <c r="N4056" t="inlineStr">
        <is>
          <t>ref</t>
        </is>
      </c>
      <c r="O4056" t="n">
        <v>50</v>
      </c>
      <c r="P4056" t="n">
        <v>0.01221</v>
      </c>
      <c r="Q4056" t="n">
        <v>-65</v>
      </c>
      <c r="R4056" t="n">
        <v>0.01855</v>
      </c>
      <c r="S4056">
        <f>IMAGE("https://mitra.stanford.edu/kundaje/oak/projects/neuro-variants/variant_position/credible/roussos_2024/variant_figures/roussos_2024.infant.GLU/rs7023933_count_position.png",4,220,900)</f>
        <v/>
      </c>
      <c r="T4056">
        <f>IMAGE("https://mitra.stanford.edu/kundaje/oak/projects/neuro-variants/variant_position/credible/roussos_2024/variant_figures/roussos_2024.infant.GLU/rs7023933_profile_position.png",4,220,900)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-0.00516676578</v>
      </c>
      <c r="G4057" t="n">
        <v>0.7469840549590623</v>
      </c>
      <c r="H4057" t="n">
        <v>0.028654570462364</v>
      </c>
      <c r="I4057" t="n">
        <v>0.0667565468563301</v>
      </c>
      <c r="J4057" t="n">
        <v>0.0827443285786723</v>
      </c>
      <c r="K4057" t="n">
        <v>0.2423841369950027</v>
      </c>
      <c r="L4057" t="b">
        <v>0</v>
      </c>
      <c r="M4057" t="b">
        <v>0</v>
      </c>
      <c r="N4057" t="inlineStr">
        <is>
          <t>ref</t>
        </is>
      </c>
      <c r="O4057" t="n">
        <v>-35</v>
      </c>
      <c r="P4057" t="n">
        <v>0.01897</v>
      </c>
      <c r="Q4057" t="n">
        <v>65</v>
      </c>
      <c r="R4057" t="n">
        <v>0.0992</v>
      </c>
      <c r="S4057">
        <f>IMAGE("https://mitra.stanford.edu/kundaje/oak/projects/neuro-variants/variant_position/credible/roussos_2024/variant_figures/roussos_2024.infant.GLU/rs10125504_count_position.png",4,220,900)</f>
        <v/>
      </c>
      <c r="T4057">
        <f>IMAGE("https://mitra.stanford.edu/kundaje/oak/projects/neuro-variants/variant_position/credible/roussos_2024/variant_figures/roussos_2024.infant.GLU/rs10125504_profile_position.png",4,220,900)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0.135870692</v>
      </c>
      <c r="G4058" t="n">
        <v>0.0254515086859551</v>
      </c>
      <c r="H4058" t="n">
        <v>0.0215294239886938</v>
      </c>
      <c r="I4058" t="n">
        <v>0.1515657943403745</v>
      </c>
      <c r="J4058" t="n">
        <v>0.1092098591238783</v>
      </c>
      <c r="K4058" t="n">
        <v>0.1910116840588995</v>
      </c>
      <c r="L4058" t="b">
        <v>0</v>
      </c>
      <c r="M4058" t="b">
        <v>0</v>
      </c>
      <c r="N4058" t="inlineStr">
        <is>
          <t>alt</t>
        </is>
      </c>
      <c r="O4058" t="n">
        <v>-5</v>
      </c>
      <c r="P4058" t="n">
        <v>0.0003052</v>
      </c>
      <c r="Q4058" t="n">
        <v>-85</v>
      </c>
      <c r="R4058" t="n">
        <v>0.004883</v>
      </c>
      <c r="S4058">
        <f>IMAGE("https://mitra.stanford.edu/kundaje/oak/projects/neuro-variants/variant_position/credible/roussos_2024/variant_figures/roussos_2024.infant.GLU/rs12554020_count_position.png",4,220,900)</f>
        <v/>
      </c>
      <c r="T4058">
        <f>IMAGE("https://mitra.stanford.edu/kundaje/oak/projects/neuro-variants/variant_position/credible/roussos_2024/variant_figures/roussos_2024.infant.GLU/rs12554020_profile_position.png",4,220,900)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-0.0416606354</v>
      </c>
      <c r="G4059" t="n">
        <v>0.2214158739278457</v>
      </c>
      <c r="H4059" t="n">
        <v>0.0431815584108082</v>
      </c>
      <c r="I4059" t="n">
        <v>0.0146638088674829</v>
      </c>
      <c r="J4059" t="n">
        <v>0.1162040609360876</v>
      </c>
      <c r="K4059" t="n">
        <v>0.1847211794756368</v>
      </c>
      <c r="L4059" t="b">
        <v>1</v>
      </c>
      <c r="M4059" t="b">
        <v>0</v>
      </c>
      <c r="N4059" t="inlineStr">
        <is>
          <t>ref</t>
        </is>
      </c>
      <c r="O4059" t="n">
        <v>70</v>
      </c>
      <c r="P4059" t="n">
        <v>0.02057</v>
      </c>
      <c r="Q4059" t="n">
        <v>75</v>
      </c>
      <c r="R4059" t="n">
        <v>0.08359999999999999</v>
      </c>
      <c r="S4059">
        <f>IMAGE("https://mitra.stanford.edu/kundaje/oak/projects/neuro-variants/variant_position/credible/roussos_2024/variant_figures/roussos_2024.infant.GLU/rs28464341_count_position.png",4,220,900)</f>
        <v/>
      </c>
      <c r="T4059">
        <f>IMAGE("https://mitra.stanford.edu/kundaje/oak/projects/neuro-variants/variant_position/credible/roussos_2024/variant_figures/roussos_2024.infant.GLU/rs28464341_profile_position.png",4,220,900)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0.0255347527999999</v>
      </c>
      <c r="G4060" t="n">
        <v>0.3652312453398558</v>
      </c>
      <c r="H4060" t="n">
        <v>0.0169514324649473</v>
      </c>
      <c r="I4060" t="n">
        <v>0.2749672379584166</v>
      </c>
      <c r="J4060" t="n">
        <v>0.06111135607046</v>
      </c>
      <c r="K4060" t="n">
        <v>0.3102318754961435</v>
      </c>
      <c r="L4060" t="b">
        <v>0</v>
      </c>
      <c r="M4060" t="b">
        <v>0</v>
      </c>
      <c r="N4060" t="inlineStr">
        <is>
          <t>alt</t>
        </is>
      </c>
      <c r="O4060" t="n">
        <v>15</v>
      </c>
      <c r="P4060" t="n">
        <v>0.0012665</v>
      </c>
      <c r="Q4060" t="n">
        <v>5</v>
      </c>
      <c r="R4060" t="n">
        <v>0.001099</v>
      </c>
      <c r="S4060">
        <f>IMAGE("https://mitra.stanford.edu/kundaje/oak/projects/neuro-variants/variant_position/credible/roussos_2024/variant_figures/roussos_2024.infant.GLU/rs7869257_count_position.png",4,220,900)</f>
        <v/>
      </c>
      <c r="T4060">
        <f>IMAGE("https://mitra.stanford.edu/kundaje/oak/projects/neuro-variants/variant_position/credible/roussos_2024/variant_figures/roussos_2024.infant.GLU/rs7869257_profile_position.png",4,220,900)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-0.130591982</v>
      </c>
      <c r="G4061" t="n">
        <v>0.0297216684424424</v>
      </c>
      <c r="H4061" t="n">
        <v>0.0192367503575763</v>
      </c>
      <c r="I4061" t="n">
        <v>0.2094669936291253</v>
      </c>
      <c r="J4061" t="n">
        <v>0.3148449039881831</v>
      </c>
      <c r="K4061" t="n">
        <v>0.0642318981846987</v>
      </c>
      <c r="L4061" t="b">
        <v>0</v>
      </c>
      <c r="M4061" t="b">
        <v>0</v>
      </c>
      <c r="N4061" t="inlineStr">
        <is>
          <t>ref</t>
        </is>
      </c>
      <c r="O4061" t="n">
        <v>-90</v>
      </c>
      <c r="P4061" t="n">
        <v>0.0176</v>
      </c>
      <c r="Q4061" t="n">
        <v>-90</v>
      </c>
      <c r="R4061" t="n">
        <v>0.2373</v>
      </c>
      <c r="S4061">
        <f>IMAGE("https://mitra.stanford.edu/kundaje/oak/projects/neuro-variants/variant_position/credible/roussos_2024/variant_figures/roussos_2024.infant.GLU/rs7867834_count_position.png",4,220,900)</f>
        <v/>
      </c>
      <c r="T4061">
        <f>IMAGE("https://mitra.stanford.edu/kundaje/oak/projects/neuro-variants/variant_position/credible/roussos_2024/variant_figures/roussos_2024.infant.GLU/rs7867834_profile_position.png",4,220,900)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-0.0049255312399999</v>
      </c>
      <c r="G4062" t="n">
        <v>0.6875304053603651</v>
      </c>
      <c r="H4062" t="n">
        <v>0.0203915058674626</v>
      </c>
      <c r="I4062" t="n">
        <v>0.1742164930339886</v>
      </c>
      <c r="J4062" t="n">
        <v>0.0600884058290526</v>
      </c>
      <c r="K4062" t="n">
        <v>0.3113861244107318</v>
      </c>
      <c r="L4062" t="b">
        <v>0</v>
      </c>
      <c r="M4062" t="b">
        <v>0</v>
      </c>
      <c r="N4062" t="inlineStr">
        <is>
          <t>ref</t>
        </is>
      </c>
      <c r="O4062" t="n">
        <v>-100</v>
      </c>
      <c r="P4062" t="n">
        <v>0.01219</v>
      </c>
      <c r="Q4062" t="n">
        <v>-25</v>
      </c>
      <c r="R4062" t="n">
        <v>0.011215</v>
      </c>
      <c r="S4062">
        <f>IMAGE("https://mitra.stanford.edu/kundaje/oak/projects/neuro-variants/variant_position/credible/roussos_2024/variant_figures/roussos_2024.infant.GLU/rs10985817_count_position.png",4,220,900)</f>
        <v/>
      </c>
      <c r="T4062">
        <f>IMAGE("https://mitra.stanford.edu/kundaje/oak/projects/neuro-variants/variant_position/credible/roussos_2024/variant_figures/roussos_2024.infant.GLU/rs10985817_profile_position.png",4,220,900)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-0.002272044912</v>
      </c>
      <c r="G4063" t="n">
        <v>0.8013512537567389</v>
      </c>
      <c r="H4063" t="n">
        <v>0.008842263253598199</v>
      </c>
      <c r="I4063" t="n">
        <v>0.8487005450190387</v>
      </c>
      <c r="J4063" t="n">
        <v>0.0253378601821027</v>
      </c>
      <c r="K4063" t="n">
        <v>0.5026200115654823</v>
      </c>
      <c r="L4063" t="b">
        <v>0</v>
      </c>
      <c r="M4063" t="b">
        <v>0</v>
      </c>
      <c r="N4063" t="inlineStr">
        <is>
          <t>ref</t>
        </is>
      </c>
      <c r="O4063" t="n">
        <v>-80</v>
      </c>
      <c r="P4063" t="n">
        <v>0.06322999999999999</v>
      </c>
      <c r="Q4063" t="n">
        <v>-100</v>
      </c>
      <c r="R4063" t="n">
        <v>0.1222</v>
      </c>
      <c r="S4063">
        <f>IMAGE("https://mitra.stanford.edu/kundaje/oak/projects/neuro-variants/variant_position/credible/roussos_2024/variant_figures/roussos_2024.infant.GLU/rs3780444_count_position.png",4,220,900)</f>
        <v/>
      </c>
      <c r="T4063">
        <f>IMAGE("https://mitra.stanford.edu/kundaje/oak/projects/neuro-variants/variant_position/credible/roussos_2024/variant_figures/roussos_2024.infant.GLU/rs3780444_profile_position.png",4,220,900)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0.0054678601999999</v>
      </c>
      <c r="G4064" t="n">
        <v>0.5721744369572288</v>
      </c>
      <c r="H4064" t="n">
        <v>0.0309384998208544</v>
      </c>
      <c r="I4064" t="n">
        <v>0.0520125322684007</v>
      </c>
      <c r="J4064" t="n">
        <v>0.1547146101104521</v>
      </c>
      <c r="K4064" t="n">
        <v>0.140846152250122</v>
      </c>
      <c r="L4064" t="b">
        <v>0</v>
      </c>
      <c r="M4064" t="b">
        <v>0</v>
      </c>
      <c r="N4064" t="inlineStr">
        <is>
          <t>alt</t>
        </is>
      </c>
      <c r="O4064" t="n">
        <v>95</v>
      </c>
      <c r="P4064" t="n">
        <v>0.02817</v>
      </c>
      <c r="Q4064" t="n">
        <v>100</v>
      </c>
      <c r="R4064" t="n">
        <v>0.1921</v>
      </c>
      <c r="S4064">
        <f>IMAGE("https://mitra.stanford.edu/kundaje/oak/projects/neuro-variants/variant_position/credible/roussos_2024/variant_figures/roussos_2024.infant.GLU/rs10817282_count_position.png",4,220,900)</f>
        <v/>
      </c>
      <c r="T4064">
        <f>IMAGE("https://mitra.stanford.edu/kundaje/oak/projects/neuro-variants/variant_position/credible/roussos_2024/variant_figures/roussos_2024.infant.GLU/rs10817282_profile_position.png",4,220,900)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0.00778498572</v>
      </c>
      <c r="G4065" t="n">
        <v>0.517455609979291</v>
      </c>
      <c r="H4065" t="n">
        <v>0.0166712699424151</v>
      </c>
      <c r="I4065" t="n">
        <v>0.2862206629085422</v>
      </c>
      <c r="J4065" t="n">
        <v>0.1642595736237571</v>
      </c>
      <c r="K4065" t="n">
        <v>0.1314938231716642</v>
      </c>
      <c r="L4065" t="b">
        <v>0</v>
      </c>
      <c r="M4065" t="b">
        <v>0</v>
      </c>
      <c r="N4065" t="inlineStr">
        <is>
          <t>alt</t>
        </is>
      </c>
      <c r="O4065" t="n">
        <v>-100</v>
      </c>
      <c r="P4065" t="n">
        <v>0.02682</v>
      </c>
      <c r="Q4065" t="n">
        <v>50</v>
      </c>
      <c r="R4065" t="n">
        <v>0.05933</v>
      </c>
      <c r="S4065">
        <f>IMAGE("https://mitra.stanford.edu/kundaje/oak/projects/neuro-variants/variant_position/credible/roussos_2024/variant_figures/roussos_2024.infant.GLU/rs1887518_count_position.png",4,220,900)</f>
        <v/>
      </c>
      <c r="T4065">
        <f>IMAGE("https://mitra.stanford.edu/kundaje/oak/projects/neuro-variants/variant_position/credible/roussos_2024/variant_figures/roussos_2024.infant.GLU/rs1887518_profile_position.png",4,220,900)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0.03268698648</v>
      </c>
      <c r="G4066" t="n">
        <v>0.2912258921816091</v>
      </c>
      <c r="H4066" t="n">
        <v>0.0147541749662459</v>
      </c>
      <c r="I4066" t="n">
        <v>0.3787634620129379</v>
      </c>
      <c r="J4066" t="n">
        <v>0.0530379858462487</v>
      </c>
      <c r="K4066" t="n">
        <v>0.3330502406001443</v>
      </c>
      <c r="L4066" t="b">
        <v>0</v>
      </c>
      <c r="M4066" t="b">
        <v>0</v>
      </c>
      <c r="N4066" t="inlineStr">
        <is>
          <t>alt</t>
        </is>
      </c>
      <c r="O4066" t="n">
        <v>15</v>
      </c>
      <c r="P4066" t="n">
        <v>0.001158</v>
      </c>
      <c r="Q4066" t="n">
        <v>45</v>
      </c>
      <c r="R4066" t="n">
        <v>0.0503</v>
      </c>
      <c r="S4066">
        <f>IMAGE("https://mitra.stanford.edu/kundaje/oak/projects/neuro-variants/variant_position/credible/roussos_2024/variant_figures/roussos_2024.infant.GLU/rs10114558_count_position.png",4,220,900)</f>
        <v/>
      </c>
      <c r="T4066">
        <f>IMAGE("https://mitra.stanford.edu/kundaje/oak/projects/neuro-variants/variant_position/credible/roussos_2024/variant_figures/roussos_2024.infant.GLU/rs10114558_profile_position.png",4,220,900)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-0.00468669962</v>
      </c>
      <c r="G4067" t="n">
        <v>0.611358007878731</v>
      </c>
      <c r="H4067" t="n">
        <v>0.0096705061136819</v>
      </c>
      <c r="I4067" t="n">
        <v>0.762420086538295</v>
      </c>
      <c r="J4067" t="n">
        <v>0.0291651050508167</v>
      </c>
      <c r="K4067" t="n">
        <v>0.4552455024455142</v>
      </c>
      <c r="L4067" t="b">
        <v>0</v>
      </c>
      <c r="M4067" t="b">
        <v>0</v>
      </c>
      <c r="N4067" t="inlineStr">
        <is>
          <t>ref</t>
        </is>
      </c>
      <c r="O4067" t="n">
        <v>100</v>
      </c>
      <c r="P4067" t="n">
        <v>0.0757</v>
      </c>
      <c r="Q4067" t="n">
        <v>90</v>
      </c>
      <c r="R4067" t="n">
        <v>0.3066</v>
      </c>
      <c r="S4067">
        <f>IMAGE("https://mitra.stanford.edu/kundaje/oak/projects/neuro-variants/variant_position/credible/roussos_2024/variant_figures/roussos_2024.infant.GLU/rs7861162_count_position.png",4,220,900)</f>
        <v/>
      </c>
      <c r="T4067">
        <f>IMAGE("https://mitra.stanford.edu/kundaje/oak/projects/neuro-variants/variant_position/credible/roussos_2024/variant_figures/roussos_2024.infant.GLU/rs7861162_profile_position.png",4,220,900)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0.0002153231119999</v>
      </c>
      <c r="G4068" t="n">
        <v>0.8197265313412713</v>
      </c>
      <c r="H4068" t="n">
        <v>0.0079841900957901</v>
      </c>
      <c r="I4068" t="n">
        <v>0.8961587412738162</v>
      </c>
      <c r="J4068" t="n">
        <v>0.0316894111422209</v>
      </c>
      <c r="K4068" t="n">
        <v>0.4415819063614047</v>
      </c>
      <c r="L4068" t="b">
        <v>0</v>
      </c>
      <c r="M4068" t="b">
        <v>0</v>
      </c>
      <c r="N4068" t="inlineStr">
        <is>
          <t>alt</t>
        </is>
      </c>
      <c r="O4068" t="n">
        <v>-50</v>
      </c>
      <c r="P4068" t="n">
        <v>0.06444999999999999</v>
      </c>
      <c r="Q4068" t="n">
        <v>-55</v>
      </c>
      <c r="R4068" t="n">
        <v>0.1857</v>
      </c>
      <c r="S4068">
        <f>IMAGE("https://mitra.stanford.edu/kundaje/oak/projects/neuro-variants/variant_position/credible/roussos_2024/variant_figures/roussos_2024.infant.GLU/rs7861788_count_position.png",4,220,900)</f>
        <v/>
      </c>
      <c r="T4068">
        <f>IMAGE("https://mitra.stanford.edu/kundaje/oak/projects/neuro-variants/variant_position/credible/roussos_2024/variant_figures/roussos_2024.infant.GLU/rs7861788_profile_position.png",4,220,900)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-0.03515330898</v>
      </c>
      <c r="G4069" t="n">
        <v>0.2730420728480264</v>
      </c>
      <c r="H4069" t="n">
        <v>0.0104161229195227</v>
      </c>
      <c r="I4069" t="n">
        <v>0.6928018643124862</v>
      </c>
      <c r="J4069" t="n">
        <v>0.5209792984854164</v>
      </c>
      <c r="K4069" t="n">
        <v>0.0285569735794764</v>
      </c>
      <c r="L4069" t="b">
        <v>0</v>
      </c>
      <c r="M4069" t="b">
        <v>0</v>
      </c>
      <c r="N4069" t="inlineStr">
        <is>
          <t>ref</t>
        </is>
      </c>
      <c r="O4069" t="n">
        <v>-70</v>
      </c>
      <c r="P4069" t="n">
        <v>0.009056</v>
      </c>
      <c r="Q4069" t="n">
        <v>-70</v>
      </c>
      <c r="R4069" t="n">
        <v>0.2197</v>
      </c>
      <c r="S4069">
        <f>IMAGE("https://mitra.stanford.edu/kundaje/oak/projects/neuro-variants/variant_position/credible/roussos_2024/variant_figures/roussos_2024.infant.GLU/rs7869523_count_position.png",4,220,900)</f>
        <v/>
      </c>
      <c r="T4069">
        <f>IMAGE("https://mitra.stanford.edu/kundaje/oak/projects/neuro-variants/variant_position/credible/roussos_2024/variant_figures/roussos_2024.infant.GLU/rs7869523_profile_position.png",4,220,900)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0.02816318776</v>
      </c>
      <c r="G4070" t="n">
        <v>0.3520212170751892</v>
      </c>
      <c r="H4070" t="n">
        <v>0.0455813784356333</v>
      </c>
      <c r="I4070" t="n">
        <v>0.0116159745878383</v>
      </c>
      <c r="J4070" t="n">
        <v>0.1077074009568111</v>
      </c>
      <c r="K4070" t="n">
        <v>0.1931437972313999</v>
      </c>
      <c r="L4070" t="b">
        <v>1</v>
      </c>
      <c r="M4070" t="b">
        <v>0</v>
      </c>
      <c r="N4070" t="inlineStr">
        <is>
          <t>alt</t>
        </is>
      </c>
      <c r="O4070" t="n">
        <v>90</v>
      </c>
      <c r="P4070" t="n">
        <v>0.01953</v>
      </c>
      <c r="Q4070" t="n">
        <v>95</v>
      </c>
      <c r="R4070" t="n">
        <v>0.2886</v>
      </c>
      <c r="S4070">
        <f>IMAGE("https://mitra.stanford.edu/kundaje/oak/projects/neuro-variants/variant_position/credible/roussos_2024/variant_figures/roussos_2024.infant.GLU/rs7871559_count_position.png",4,220,900)</f>
        <v/>
      </c>
      <c r="T4070">
        <f>IMAGE("https://mitra.stanford.edu/kundaje/oak/projects/neuro-variants/variant_position/credible/roussos_2024/variant_figures/roussos_2024.infant.GLU/rs7871559_profile_position.png",4,220,900)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-0.0083784736</v>
      </c>
      <c r="G4071" t="n">
        <v>0.6974793115479757</v>
      </c>
      <c r="H4071" t="n">
        <v>0.0383321903148885</v>
      </c>
      <c r="I4071" t="n">
        <v>0.0240053187420835</v>
      </c>
      <c r="J4071" t="n">
        <v>0.1184924711744085</v>
      </c>
      <c r="K4071" t="n">
        <v>0.1791159453251418</v>
      </c>
      <c r="L4071" t="b">
        <v>0</v>
      </c>
      <c r="M4071" t="b">
        <v>0</v>
      </c>
      <c r="N4071" t="inlineStr">
        <is>
          <t>ref</t>
        </is>
      </c>
      <c r="O4071" t="n">
        <v>-100</v>
      </c>
      <c r="P4071" t="n">
        <v>0.0231</v>
      </c>
      <c r="Q4071" t="n">
        <v>45</v>
      </c>
      <c r="R4071" t="n">
        <v>0.1246</v>
      </c>
      <c r="S4071">
        <f>IMAGE("https://mitra.stanford.edu/kundaje/oak/projects/neuro-variants/variant_position/credible/roussos_2024/variant_figures/roussos_2024.infant.GLU/rs3780514_count_position.png",4,220,900)</f>
        <v/>
      </c>
      <c r="T4071">
        <f>IMAGE("https://mitra.stanford.edu/kundaje/oak/projects/neuro-variants/variant_position/credible/roussos_2024/variant_figures/roussos_2024.infant.GLU/rs3780514_profile_position.png",4,220,900)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-0.03124939</v>
      </c>
      <c r="G4072" t="n">
        <v>0.3085533489287884</v>
      </c>
      <c r="H4072" t="n">
        <v>0.0595974614560297</v>
      </c>
      <c r="I4072" t="n">
        <v>0.0032097336021341</v>
      </c>
      <c r="J4072" t="n">
        <v>0.006541149496241</v>
      </c>
      <c r="K4072" t="n">
        <v>0.7187206656907641</v>
      </c>
      <c r="L4072" t="b">
        <v>0</v>
      </c>
      <c r="M4072" t="b">
        <v>0</v>
      </c>
      <c r="N4072" t="inlineStr">
        <is>
          <t>ref</t>
        </is>
      </c>
      <c r="O4072" t="n">
        <v>-20</v>
      </c>
      <c r="P4072" t="n">
        <v>0.00638</v>
      </c>
      <c r="Q4072" t="n">
        <v>100</v>
      </c>
      <c r="R4072" t="n">
        <v>0.03668</v>
      </c>
      <c r="S4072">
        <f>IMAGE("https://mitra.stanford.edu/kundaje/oak/projects/neuro-variants/variant_position/credible/roussos_2024/variant_figures/roussos_2024.infant.GLU/rs3736985_count_position.png",4,220,900)</f>
        <v/>
      </c>
      <c r="T4072">
        <f>IMAGE("https://mitra.stanford.edu/kundaje/oak/projects/neuro-variants/variant_position/credible/roussos_2024/variant_figures/roussos_2024.infant.GLU/rs3736985_profile_position.png",4,220,900)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0.231182886</v>
      </c>
      <c r="G4073" t="n">
        <v>0.0067980254492437</v>
      </c>
      <c r="H4073" t="n">
        <v>0.0452537461662483</v>
      </c>
      <c r="I4073" t="n">
        <v>0.0120568797000777</v>
      </c>
      <c r="J4073" t="n">
        <v>0.0187658458078881</v>
      </c>
      <c r="K4073" t="n">
        <v>0.5592000308096871</v>
      </c>
      <c r="L4073" t="b">
        <v>1</v>
      </c>
      <c r="M4073" t="b">
        <v>1</v>
      </c>
      <c r="N4073" t="inlineStr">
        <is>
          <t>alt</t>
        </is>
      </c>
      <c r="O4073" t="n">
        <v>-100</v>
      </c>
      <c r="P4073" t="n">
        <v>0.01094</v>
      </c>
      <c r="Q4073" t="n">
        <v>90</v>
      </c>
      <c r="R4073" t="n">
        <v>0.05127</v>
      </c>
      <c r="S4073">
        <f>IMAGE("https://mitra.stanford.edu/kundaje/oak/projects/neuro-variants/variant_position/credible/roussos_2024/variant_figures/roussos_2024.infant.GLU/rs7026917_count_position.png",4,220,900)</f>
        <v/>
      </c>
      <c r="T4073">
        <f>IMAGE("https://mitra.stanford.edu/kundaje/oak/projects/neuro-variants/variant_position/credible/roussos_2024/variant_figures/roussos_2024.infant.GLU/rs7026917_profile_position.png",4,220,900)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0.00239629198</v>
      </c>
      <c r="G4074" t="n">
        <v>0.7540302606014085</v>
      </c>
      <c r="H4074" t="n">
        <v>0.0131854773888869</v>
      </c>
      <c r="I4074" t="n">
        <v>0.470801009452205</v>
      </c>
      <c r="J4074" t="n">
        <v>0.0012423113384333</v>
      </c>
      <c r="K4074" t="n">
        <v>0.8864994225143734</v>
      </c>
      <c r="L4074" t="b">
        <v>0</v>
      </c>
      <c r="M4074" t="b">
        <v>0</v>
      </c>
      <c r="N4074" t="inlineStr">
        <is>
          <t>alt</t>
        </is>
      </c>
      <c r="O4074" t="n">
        <v>80</v>
      </c>
      <c r="P4074" t="n">
        <v>0.00946</v>
      </c>
      <c r="Q4074" t="n">
        <v>75</v>
      </c>
      <c r="R4074" t="n">
        <v>0.03485</v>
      </c>
      <c r="S4074">
        <f>IMAGE("https://mitra.stanford.edu/kundaje/oak/projects/neuro-variants/variant_position/credible/roussos_2024/variant_figures/roussos_2024.infant.GLU/rs7021564_count_position.png",4,220,900)</f>
        <v/>
      </c>
      <c r="T4074">
        <f>IMAGE("https://mitra.stanford.edu/kundaje/oak/projects/neuro-variants/variant_position/credible/roussos_2024/variant_figures/roussos_2024.infant.GLU/rs7021564_profile_position.png",4,220,900)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0.0015593857</v>
      </c>
      <c r="G4075" t="n">
        <v>0.7745505845054802</v>
      </c>
      <c r="H4075" t="n">
        <v>0.0069794403955754</v>
      </c>
      <c r="I4075" t="n">
        <v>0.962241729294428</v>
      </c>
      <c r="J4075" t="n">
        <v>0.003607883771688</v>
      </c>
      <c r="K4075" t="n">
        <v>0.7861594106142306</v>
      </c>
      <c r="L4075" t="b">
        <v>0</v>
      </c>
      <c r="M4075" t="b">
        <v>0</v>
      </c>
      <c r="N4075" t="inlineStr">
        <is>
          <t>alt</t>
        </is>
      </c>
      <c r="O4075" t="n">
        <v>25</v>
      </c>
      <c r="P4075" t="n">
        <v>0.00235</v>
      </c>
      <c r="Q4075" t="n">
        <v>-70</v>
      </c>
      <c r="R4075" t="n">
        <v>0.08545</v>
      </c>
      <c r="S4075">
        <f>IMAGE("https://mitra.stanford.edu/kundaje/oak/projects/neuro-variants/variant_position/credible/roussos_2024/variant_figures/roussos_2024.infant.GLU/rs7033486_count_position.png",4,220,900)</f>
        <v/>
      </c>
      <c r="T4075">
        <f>IMAGE("https://mitra.stanford.edu/kundaje/oak/projects/neuro-variants/variant_position/credible/roussos_2024/variant_figures/roussos_2024.infant.GLU/rs7033486_profile_position.png",4,220,900)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0.00064902732</v>
      </c>
      <c r="G4076" t="n">
        <v>0.8697858376960353</v>
      </c>
      <c r="H4076" t="n">
        <v>0.0135757058346816</v>
      </c>
      <c r="I4076" t="n">
        <v>0.4458027493241854</v>
      </c>
      <c r="J4076" t="n">
        <v>0.0133666967966665</v>
      </c>
      <c r="K4076" t="n">
        <v>0.6180740926727299</v>
      </c>
      <c r="L4076" t="b">
        <v>0</v>
      </c>
      <c r="M4076" t="b">
        <v>0</v>
      </c>
      <c r="N4076" t="inlineStr">
        <is>
          <t>alt</t>
        </is>
      </c>
      <c r="O4076" t="n">
        <v>80</v>
      </c>
      <c r="P4076" t="n">
        <v>0.00711</v>
      </c>
      <c r="Q4076" t="n">
        <v>100</v>
      </c>
      <c r="R4076" t="n">
        <v>0.0525</v>
      </c>
      <c r="S4076">
        <f>IMAGE("https://mitra.stanford.edu/kundaje/oak/projects/neuro-variants/variant_position/credible/roussos_2024/variant_figures/roussos_2024.infant.GLU/rs11792718_count_position.png",4,220,900)</f>
        <v/>
      </c>
      <c r="T4076">
        <f>IMAGE("https://mitra.stanford.edu/kundaje/oak/projects/neuro-variants/variant_position/credible/roussos_2024/variant_figures/roussos_2024.infant.GLU/rs11792718_profile_position.png",4,220,900)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-0.0038853124199999</v>
      </c>
      <c r="G4077" t="n">
        <v>0.7167256535045414</v>
      </c>
      <c r="H4077" t="n">
        <v>0.0217858143626536</v>
      </c>
      <c r="I4077" t="n">
        <v>0.148552242688696</v>
      </c>
      <c r="J4077" t="n">
        <v>0.02686346700765</v>
      </c>
      <c r="K4077" t="n">
        <v>0.473448541735143</v>
      </c>
      <c r="L4077" t="b">
        <v>0</v>
      </c>
      <c r="M4077" t="b">
        <v>0</v>
      </c>
      <c r="N4077" t="inlineStr">
        <is>
          <t>ref</t>
        </is>
      </c>
      <c r="O4077" t="n">
        <v>90</v>
      </c>
      <c r="P4077" t="n">
        <v>0.01598</v>
      </c>
      <c r="Q4077" t="n">
        <v>90</v>
      </c>
      <c r="R4077" t="n">
        <v>0.0876</v>
      </c>
      <c r="S4077">
        <f>IMAGE("https://mitra.stanford.edu/kundaje/oak/projects/neuro-variants/variant_position/credible/roussos_2024/variant_figures/roussos_2024.infant.GLU/rs6477903_count_position.png",4,220,900)</f>
        <v/>
      </c>
      <c r="T4077">
        <f>IMAGE("https://mitra.stanford.edu/kundaje/oak/projects/neuro-variants/variant_position/credible/roussos_2024/variant_figures/roussos_2024.infant.GLU/rs6477903_profile_position.png",4,220,900)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-0.0703241446</v>
      </c>
      <c r="G4078" t="n">
        <v>0.098453338213619</v>
      </c>
      <c r="H4078" t="n">
        <v>0.0363994551636759</v>
      </c>
      <c r="I4078" t="n">
        <v>0.0291194078827006</v>
      </c>
      <c r="J4078" t="n">
        <v>0.0284331665160166</v>
      </c>
      <c r="K4078" t="n">
        <v>0.4601523030597871</v>
      </c>
      <c r="L4078" t="b">
        <v>0</v>
      </c>
      <c r="M4078" t="b">
        <v>0</v>
      </c>
      <c r="N4078" t="inlineStr">
        <is>
          <t>ref</t>
        </is>
      </c>
      <c r="O4078" t="n">
        <v>80</v>
      </c>
      <c r="P4078" t="n">
        <v>0.0166</v>
      </c>
      <c r="Q4078" t="n">
        <v>-5</v>
      </c>
      <c r="R4078" t="n">
        <v>0.006836</v>
      </c>
      <c r="S4078">
        <f>IMAGE("https://mitra.stanford.edu/kundaje/oak/projects/neuro-variants/variant_position/credible/roussos_2024/variant_figures/roussos_2024.infant.GLU/rs4979090_count_position.png",4,220,900)</f>
        <v/>
      </c>
      <c r="T4078">
        <f>IMAGE("https://mitra.stanford.edu/kundaje/oak/projects/neuro-variants/variant_position/credible/roussos_2024/variant_figures/roussos_2024.infant.GLU/rs4979090_profile_position.png",4,220,900)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-0.136988756</v>
      </c>
      <c r="G4079" t="n">
        <v>0.0286661478192147</v>
      </c>
      <c r="H4079" t="n">
        <v>0.0259870408467641</v>
      </c>
      <c r="I4079" t="n">
        <v>0.0941286114063529</v>
      </c>
      <c r="J4079" t="n">
        <v>0.0100884058290526</v>
      </c>
      <c r="K4079" t="n">
        <v>0.6617010287585016</v>
      </c>
      <c r="L4079" t="b">
        <v>0</v>
      </c>
      <c r="M4079" t="b">
        <v>0</v>
      </c>
      <c r="N4079" t="inlineStr">
        <is>
          <t>ref</t>
        </is>
      </c>
      <c r="O4079" t="n">
        <v>-55</v>
      </c>
      <c r="P4079" t="n">
        <v>0.010864</v>
      </c>
      <c r="Q4079" t="n">
        <v>100</v>
      </c>
      <c r="R4079" t="n">
        <v>0.008484</v>
      </c>
      <c r="S4079">
        <f>IMAGE("https://mitra.stanford.edu/kundaje/oak/projects/neuro-variants/variant_position/credible/roussos_2024/variant_figures/roussos_2024.infant.GLU/rs7027240_count_position.png",4,220,900)</f>
        <v/>
      </c>
      <c r="T4079">
        <f>IMAGE("https://mitra.stanford.edu/kundaje/oak/projects/neuro-variants/variant_position/credible/roussos_2024/variant_figures/roussos_2024.infant.GLU/rs7027240_profile_position.png",4,220,900)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-0.02405162196</v>
      </c>
      <c r="G4080" t="n">
        <v>0.4130789968992973</v>
      </c>
      <c r="H4080" t="n">
        <v>0.0161465357643596</v>
      </c>
      <c r="I4080" t="n">
        <v>0.3068175075799773</v>
      </c>
      <c r="J4080" t="n">
        <v>0.0355364977182035</v>
      </c>
      <c r="K4080" t="n">
        <v>0.4311448364873632</v>
      </c>
      <c r="L4080" t="b">
        <v>0</v>
      </c>
      <c r="M4080" t="b">
        <v>0</v>
      </c>
      <c r="N4080" t="inlineStr">
        <is>
          <t>ref</t>
        </is>
      </c>
      <c r="O4080" t="n">
        <v>65</v>
      </c>
      <c r="P4080" t="n">
        <v>0.003078</v>
      </c>
      <c r="Q4080" t="n">
        <v>-85</v>
      </c>
      <c r="R4080" t="n">
        <v>0.0431</v>
      </c>
      <c r="S4080">
        <f>IMAGE("https://mitra.stanford.edu/kundaje/oak/projects/neuro-variants/variant_position/credible/roussos_2024/variant_figures/roussos_2024.infant.GLU/rs10817308_count_position.png",4,220,900)</f>
        <v/>
      </c>
      <c r="T4080">
        <f>IMAGE("https://mitra.stanford.edu/kundaje/oak/projects/neuro-variants/variant_position/credible/roussos_2024/variant_figures/roussos_2024.infant.GLU/rs10817308_profile_position.png",4,220,900)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-0.0504780462</v>
      </c>
      <c r="G4081" t="n">
        <v>0.1711813147377275</v>
      </c>
      <c r="H4081" t="n">
        <v>0.0339461302231176</v>
      </c>
      <c r="I4081" t="n">
        <v>0.038100148946291</v>
      </c>
      <c r="J4081" t="n">
        <v>0.0051268766948124</v>
      </c>
      <c r="K4081" t="n">
        <v>0.7488121593156444</v>
      </c>
      <c r="L4081" t="b">
        <v>0</v>
      </c>
      <c r="M4081" t="b">
        <v>0</v>
      </c>
      <c r="N4081" t="inlineStr">
        <is>
          <t>ref</t>
        </is>
      </c>
      <c r="O4081" t="n">
        <v>45</v>
      </c>
      <c r="P4081" t="n">
        <v>0.00971</v>
      </c>
      <c r="Q4081" t="n">
        <v>45</v>
      </c>
      <c r="R4081" t="n">
        <v>0.08923</v>
      </c>
      <c r="S4081">
        <f>IMAGE("https://mitra.stanford.edu/kundaje/oak/projects/neuro-variants/variant_position/credible/roussos_2024/variant_figures/roussos_2024.infant.GLU/rs12376681_count_position.png",4,220,900)</f>
        <v/>
      </c>
      <c r="T4081">
        <f>IMAGE("https://mitra.stanford.edu/kundaje/oak/projects/neuro-variants/variant_position/credible/roussos_2024/variant_figures/roussos_2024.infant.GLU/rs12376681_profile_position.png",4,220,900)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0.0227586086</v>
      </c>
      <c r="G4082" t="n">
        <v>0.405540451105052</v>
      </c>
      <c r="H4082" t="n">
        <v>0.0132122349768822</v>
      </c>
      <c r="I4082" t="n">
        <v>0.4669348724133436</v>
      </c>
      <c r="J4082" t="n">
        <v>0.0146531008179192</v>
      </c>
      <c r="K4082" t="n">
        <v>0.601461819131323</v>
      </c>
      <c r="L4082" t="b">
        <v>0</v>
      </c>
      <c r="M4082" t="b">
        <v>0</v>
      </c>
      <c r="N4082" t="inlineStr">
        <is>
          <t>alt</t>
        </is>
      </c>
      <c r="O4082" t="n">
        <v>-100</v>
      </c>
      <c r="P4082" t="n">
        <v>0.06469999999999999</v>
      </c>
      <c r="Q4082" t="n">
        <v>-75</v>
      </c>
      <c r="R4082" t="n">
        <v>0.04904</v>
      </c>
      <c r="S4082">
        <f>IMAGE("https://mitra.stanford.edu/kundaje/oak/projects/neuro-variants/variant_position/credible/roussos_2024/variant_figures/roussos_2024.infant.GLU/rs4978484_count_position.png",4,220,900)</f>
        <v/>
      </c>
      <c r="T4082">
        <f>IMAGE("https://mitra.stanford.edu/kundaje/oak/projects/neuro-variants/variant_position/credible/roussos_2024/variant_figures/roussos_2024.infant.GLU/rs4978484_profile_position.png",4,220,900)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0.091943497</v>
      </c>
      <c r="G4083" t="n">
        <v>0.0588095717411607</v>
      </c>
      <c r="H4083" t="n">
        <v>0.038903450418216</v>
      </c>
      <c r="I4083" t="n">
        <v>0.0226576495784087</v>
      </c>
      <c r="J4083" t="n">
        <v>0.009318988513856</v>
      </c>
      <c r="K4083" t="n">
        <v>0.6696560398649729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0.01662</v>
      </c>
      <c r="Q4083" t="n">
        <v>100</v>
      </c>
      <c r="R4083" t="n">
        <v>0.0636</v>
      </c>
      <c r="S4083">
        <f>IMAGE("https://mitra.stanford.edu/kundaje/oak/projects/neuro-variants/variant_position/credible/roussos_2024/variant_figures/roussos_2024.infant.GLU/rs4979103_count_position.png",4,220,900)</f>
        <v/>
      </c>
      <c r="T4083">
        <f>IMAGE("https://mitra.stanford.edu/kundaje/oak/projects/neuro-variants/variant_position/credible/roussos_2024/variant_figures/roussos_2024.infant.GLU/rs4979103_profile_position.png",4,220,900)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-0.0012058719</v>
      </c>
      <c r="G4084" t="n">
        <v>0.751155259434297</v>
      </c>
      <c r="H4084" t="n">
        <v>0.0103962791022857</v>
      </c>
      <c r="I4084" t="n">
        <v>0.7037068208877457</v>
      </c>
      <c r="J4084" t="n">
        <v>0.1397242002689653</v>
      </c>
      <c r="K4084" t="n">
        <v>0.1555833768608737</v>
      </c>
      <c r="L4084" t="b">
        <v>0</v>
      </c>
      <c r="M4084" t="b">
        <v>0</v>
      </c>
      <c r="N4084" t="inlineStr">
        <is>
          <t>ref</t>
        </is>
      </c>
      <c r="O4084" t="n">
        <v>-25</v>
      </c>
      <c r="P4084" t="n">
        <v>0.00416</v>
      </c>
      <c r="Q4084" t="n">
        <v>-100</v>
      </c>
      <c r="R4084" t="n">
        <v>0.2686</v>
      </c>
      <c r="S4084">
        <f>IMAGE("https://mitra.stanford.edu/kundaje/oak/projects/neuro-variants/variant_position/credible/roussos_2024/variant_figures/roussos_2024.infant.GLU/rs10817323_count_position.png",4,220,900)</f>
        <v/>
      </c>
      <c r="T4084">
        <f>IMAGE("https://mitra.stanford.edu/kundaje/oak/projects/neuro-variants/variant_position/credible/roussos_2024/variant_figures/roussos_2024.infant.GLU/rs10817323_profile_position.png",4,220,900)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0.118990537</v>
      </c>
      <c r="G4085" t="n">
        <v>0.0340353435306793</v>
      </c>
      <c r="H4085" t="n">
        <v>0.0181232029570227</v>
      </c>
      <c r="I4085" t="n">
        <v>0.2345413796637756</v>
      </c>
      <c r="J4085" t="n">
        <v>0.5994830132939437</v>
      </c>
      <c r="K4085" t="n">
        <v>0.021108133252294</v>
      </c>
      <c r="L4085" t="b">
        <v>0</v>
      </c>
      <c r="M4085" t="b">
        <v>0</v>
      </c>
      <c r="N4085" t="inlineStr">
        <is>
          <t>alt</t>
        </is>
      </c>
      <c r="O4085" t="n">
        <v>75</v>
      </c>
      <c r="P4085" t="n">
        <v>0.0181</v>
      </c>
      <c r="Q4085" t="n">
        <v>-90</v>
      </c>
      <c r="R4085" t="n">
        <v>0.1719</v>
      </c>
      <c r="S4085">
        <f>IMAGE("https://mitra.stanford.edu/kundaje/oak/projects/neuro-variants/variant_position/credible/roussos_2024/variant_figures/roussos_2024.infant.GLU/rs11790388_count_position.png",4,220,900)</f>
        <v/>
      </c>
      <c r="T4085">
        <f>IMAGE("https://mitra.stanford.edu/kundaje/oak/projects/neuro-variants/variant_position/credible/roussos_2024/variant_figures/roussos_2024.infant.GLU/rs11790388_profile_position.png",4,220,900)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0.237074838</v>
      </c>
      <c r="G4086" t="n">
        <v>0.0063987278583847</v>
      </c>
      <c r="H4086" t="n">
        <v>0.0614127587817259</v>
      </c>
      <c r="I4086" t="n">
        <v>0.002912220970711</v>
      </c>
      <c r="J4086" t="n">
        <v>0.546666593178862</v>
      </c>
      <c r="K4086" t="n">
        <v>0.0258118166383523</v>
      </c>
      <c r="L4086" t="b">
        <v>1</v>
      </c>
      <c r="M4086" t="b">
        <v>1</v>
      </c>
      <c r="N4086" t="inlineStr">
        <is>
          <t>alt</t>
        </is>
      </c>
      <c r="O4086" t="n">
        <v>-5</v>
      </c>
      <c r="P4086" t="n">
        <v>0.003036</v>
      </c>
      <c r="Q4086" t="n">
        <v>95</v>
      </c>
      <c r="R4086" t="n">
        <v>0.09032999999999999</v>
      </c>
      <c r="S4086">
        <f>IMAGE("https://mitra.stanford.edu/kundaje/oak/projects/neuro-variants/variant_position/credible/roussos_2024/variant_figures/roussos_2024.infant.GLU/rs7868607_count_position.png",4,220,900)</f>
        <v/>
      </c>
      <c r="T4086">
        <f>IMAGE("https://mitra.stanford.edu/kundaje/oak/projects/neuro-variants/variant_position/credible/roussos_2024/variant_figures/roussos_2024.infant.GLU/rs7868607_profile_position.png",4,220,900)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-0.127427206</v>
      </c>
      <c r="G4087" t="n">
        <v>0.0112304745188146</v>
      </c>
      <c r="H4087" t="n">
        <v>0.0566521015278869</v>
      </c>
      <c r="I4087" t="n">
        <v>0.005519448860775</v>
      </c>
      <c r="J4087" t="n">
        <v>0.4075266209572521</v>
      </c>
      <c r="K4087" t="n">
        <v>0.0438741633960215</v>
      </c>
      <c r="L4087" t="b">
        <v>1</v>
      </c>
      <c r="M4087" t="b">
        <v>1</v>
      </c>
      <c r="N4087" t="inlineStr">
        <is>
          <t>ref</t>
        </is>
      </c>
      <c r="O4087" t="n">
        <v>-40</v>
      </c>
      <c r="P4087" t="n">
        <v>0.0116</v>
      </c>
      <c r="Q4087" t="n">
        <v>55</v>
      </c>
      <c r="R4087" t="n">
        <v>0.02197</v>
      </c>
      <c r="S4087">
        <f>IMAGE("https://mitra.stanford.edu/kundaje/oak/projects/neuro-variants/variant_position/credible/roussos_2024/variant_figures/roussos_2024.infant.GLU/rs56199530_count_position.png",4,220,900)</f>
        <v/>
      </c>
      <c r="T4087">
        <f>IMAGE("https://mitra.stanford.edu/kundaje/oak/projects/neuro-variants/variant_position/credible/roussos_2024/variant_figures/roussos_2024.infant.GLU/rs56199530_profile_position.png",4,220,900)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0.0527150527999999</v>
      </c>
      <c r="G4088" t="n">
        <v>0.1575869136426798</v>
      </c>
      <c r="H4088" t="n">
        <v>0.0138804900694906</v>
      </c>
      <c r="I4088" t="n">
        <v>0.4255110990762121</v>
      </c>
      <c r="J4088" t="n">
        <v>0.2063449370576952</v>
      </c>
      <c r="K4088" t="n">
        <v>0.113188532977587</v>
      </c>
      <c r="L4088" t="b">
        <v>0</v>
      </c>
      <c r="M4088" t="b">
        <v>0</v>
      </c>
      <c r="N4088" t="inlineStr">
        <is>
          <t>alt</t>
        </is>
      </c>
      <c r="O4088" t="n">
        <v>-90</v>
      </c>
      <c r="P4088" t="n">
        <v>0.01105</v>
      </c>
      <c r="Q4088" t="n">
        <v>-75</v>
      </c>
      <c r="R4088" t="n">
        <v>0.262</v>
      </c>
      <c r="S4088">
        <f>IMAGE("https://mitra.stanford.edu/kundaje/oak/projects/neuro-variants/variant_position/credible/roussos_2024/variant_figures/roussos_2024.infant.GLU/rs10867090_count_position.png",4,220,900)</f>
        <v/>
      </c>
      <c r="T4088">
        <f>IMAGE("https://mitra.stanford.edu/kundaje/oak/projects/neuro-variants/variant_position/credible/roussos_2024/variant_figures/roussos_2024.infant.GLU/rs10867090_profile_position.png",4,220,900)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-0.0314473906</v>
      </c>
      <c r="G4089" t="n">
        <v>0.3152247043663279</v>
      </c>
      <c r="H4089" t="n">
        <v>0.009737182095304</v>
      </c>
      <c r="I4089" t="n">
        <v>0.7474658528122101</v>
      </c>
      <c r="J4089" t="n">
        <v>0.2521032209704799</v>
      </c>
      <c r="K4089" t="n">
        <v>0.086287914742748</v>
      </c>
      <c r="L4089" t="b">
        <v>0</v>
      </c>
      <c r="M4089" t="b">
        <v>0</v>
      </c>
      <c r="N4089" t="inlineStr">
        <is>
          <t>ref</t>
        </is>
      </c>
      <c r="O4089" t="n">
        <v>55</v>
      </c>
      <c r="P4089" t="n">
        <v>0.005318</v>
      </c>
      <c r="Q4089" t="n">
        <v>-65</v>
      </c>
      <c r="R4089" t="n">
        <v>0.1284</v>
      </c>
      <c r="S4089">
        <f>IMAGE("https://mitra.stanford.edu/kundaje/oak/projects/neuro-variants/variant_position/credible/roussos_2024/variant_figures/roussos_2024.infant.GLU/rs7042228_count_position.png",4,220,900)</f>
        <v/>
      </c>
      <c r="T4089">
        <f>IMAGE("https://mitra.stanford.edu/kundaje/oak/projects/neuro-variants/variant_position/credible/roussos_2024/variant_figures/roussos_2024.infant.GLU/rs7042228_profile_position.png",4,220,900)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-0.0039707022</v>
      </c>
      <c r="G4090" t="n">
        <v>0.7418334013814564</v>
      </c>
      <c r="H4090" t="n">
        <v>0.016023499855994</v>
      </c>
      <c r="I4090" t="n">
        <v>0.312633957435418</v>
      </c>
      <c r="J4090" t="n">
        <v>0.0109702594854383</v>
      </c>
      <c r="K4090" t="n">
        <v>0.6456826594104139</v>
      </c>
      <c r="L4090" t="b">
        <v>0</v>
      </c>
      <c r="M4090" t="b">
        <v>0</v>
      </c>
      <c r="N4090" t="inlineStr">
        <is>
          <t>ref</t>
        </is>
      </c>
      <c r="O4090" t="n">
        <v>100</v>
      </c>
      <c r="P4090" t="n">
        <v>0.00757</v>
      </c>
      <c r="Q4090" t="n">
        <v>-95</v>
      </c>
      <c r="R4090" t="n">
        <v>0.0858</v>
      </c>
      <c r="S4090">
        <f>IMAGE("https://mitra.stanford.edu/kundaje/oak/projects/neuro-variants/variant_position/credible/roussos_2024/variant_figures/roussos_2024.infant.GLU/rs7855572_count_position.png",4,220,900)</f>
        <v/>
      </c>
      <c r="T4090">
        <f>IMAGE("https://mitra.stanford.edu/kundaje/oak/projects/neuro-variants/variant_position/credible/roussos_2024/variant_figures/roussos_2024.infant.GLU/rs7855572_profile_position.png",4,220,900)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-0.001475563928</v>
      </c>
      <c r="G4091" t="n">
        <v>0.7865363578571976</v>
      </c>
      <c r="H4091" t="n">
        <v>0.020788216039942</v>
      </c>
      <c r="I4091" t="n">
        <v>0.1661746933419083</v>
      </c>
      <c r="J4091" t="n">
        <v>0.1020194448731232</v>
      </c>
      <c r="K4091" t="n">
        <v>0.2235408014783856</v>
      </c>
      <c r="L4091" t="b">
        <v>0</v>
      </c>
      <c r="M4091" t="b">
        <v>0</v>
      </c>
      <c r="N4091" t="inlineStr">
        <is>
          <t>ref</t>
        </is>
      </c>
      <c r="O4091" t="n">
        <v>100</v>
      </c>
      <c r="P4091" t="n">
        <v>0.01293</v>
      </c>
      <c r="Q4091" t="n">
        <v>-95</v>
      </c>
      <c r="R4091" t="n">
        <v>0.1724</v>
      </c>
      <c r="S4091">
        <f>IMAGE("https://mitra.stanford.edu/kundaje/oak/projects/neuro-variants/variant_position/credible/roussos_2024/variant_figures/roussos_2024.infant.GLU/rs62580940_count_position.png",4,220,900)</f>
        <v/>
      </c>
      <c r="T4091">
        <f>IMAGE("https://mitra.stanford.edu/kundaje/oak/projects/neuro-variants/variant_position/credible/roussos_2024/variant_figures/roussos_2024.infant.GLU/rs62580940_profile_position.png",4,220,900)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2025-12-18T17:43:57Z</dcterms:created>
  <dcterms:modified xmlns:dcterms="http://purl.org/dc/terms/" xmlns:xsi="http://www.w3.org/2001/XMLSchema-instance" xsi:type="dcterms:W3CDTF">2025-12-18T17:43:58Z</dcterms:modified>
</cp:coreProperties>
</file>